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Výkaz výměr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<sst xmlns="http://schemas.openxmlformats.org/spreadsheetml/2006/main" count="1573" uniqueCount="585">
  <si>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</si>
  <si>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</si>
  <si>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</si>
  <si>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</si>
  <si>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</si>
  <si>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</si>
  <si>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</si>
  <si>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</si>
  <si>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</si>
  <si>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</si>
  <si>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</si>
  <si>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</si>
  <si>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</si>
  <si>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</si>
  <si>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</si>
  <si>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</si>
  <si>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</si>
  <si>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</si>
  <si>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</si>
  <si>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</si>
  <si>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</si>
  <si>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</si>
  <si>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</si>
  <si>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</si>
  <si>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</si>
  <si>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</si>
  <si>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</si>
  <si>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</si>
  <si>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</si>
  <si>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</si>
  <si>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</si>
  <si>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</si>
  <si>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</si>
  <si>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</si>
  <si>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</si>
  <si>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</si>
  <si>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</si>
  <si>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</si>
  <si>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</si>
  <si>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</si>
  <si>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</si>
  <si>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</si>
  <si>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</si>
  <si>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</si>
  <si>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</si>
  <si>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</si>
  <si>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</si>
  <si>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</si>
  <si>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</si>
  <si>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</si>
  <si>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</si>
  <si>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</si>
  <si>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</si>
  <si>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</si>
  <si>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</si>
  <si>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</si>
  <si>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</si>
  <si>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</si>
  <si>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</si>
  <si>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</si>
  <si>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</si>
  <si>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</si>
  <si>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</si>
  <si>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</si>
  <si>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</si>
  <si>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</si>
  <si>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</si>
  <si>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</si>
  <si>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</si>
  <si>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</si>
  <si>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</si>
  <si>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</si>
  <si>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</si>
  <si>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</si>
  <si>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</si>
  <si>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</si>
  <si>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</si>
  <si>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</si>
  <si>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</si>
  <si>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</si>
  <si>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</si>
  <si>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</si>
  <si>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</si>
  <si>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</si>
  <si>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</si>
  <si>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</si>
  <si>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</si>
  <si>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Poznámka:</t>
  </si>
  <si>
    <t>Objekt</t>
  </si>
  <si>
    <t>Kód</t>
  </si>
  <si>
    <t>132201110R00</t>
  </si>
  <si>
    <t>132201119R00</t>
  </si>
  <si>
    <t>132201210R00</t>
  </si>
  <si>
    <t>132201219R00</t>
  </si>
  <si>
    <t>162201201R00</t>
  </si>
  <si>
    <t>162201209R00</t>
  </si>
  <si>
    <t>162201203R00</t>
  </si>
  <si>
    <t>162201210R00</t>
  </si>
  <si>
    <t>167101101R00</t>
  </si>
  <si>
    <t>162701105R00</t>
  </si>
  <si>
    <t>162701109R00</t>
  </si>
  <si>
    <t>199000002R00</t>
  </si>
  <si>
    <t>174101102R00</t>
  </si>
  <si>
    <t>583319002</t>
  </si>
  <si>
    <t>182001113R00</t>
  </si>
  <si>
    <t>182001111R00</t>
  </si>
  <si>
    <t>212750010RAD</t>
  </si>
  <si>
    <t>274313611R00</t>
  </si>
  <si>
    <t>274351215RT1</t>
  </si>
  <si>
    <t>274351216R00</t>
  </si>
  <si>
    <t>274353101R00</t>
  </si>
  <si>
    <t>279311911R00</t>
  </si>
  <si>
    <t>279351101R00</t>
  </si>
  <si>
    <t>279351102R00</t>
  </si>
  <si>
    <t>289970111R00</t>
  </si>
  <si>
    <t>339928812R00</t>
  </si>
  <si>
    <t>553462132</t>
  </si>
  <si>
    <t>553462124</t>
  </si>
  <si>
    <t>339928822R00</t>
  </si>
  <si>
    <t>55342344</t>
  </si>
  <si>
    <t>553462042</t>
  </si>
  <si>
    <t>404459534</t>
  </si>
  <si>
    <t>338963211R00</t>
  </si>
  <si>
    <t>348922221R00</t>
  </si>
  <si>
    <t>274361214R00</t>
  </si>
  <si>
    <t>564922104RT1</t>
  </si>
  <si>
    <t>564831111RT2</t>
  </si>
  <si>
    <t>564851111RT2</t>
  </si>
  <si>
    <t>631310030RA0</t>
  </si>
  <si>
    <t>631351101R00</t>
  </si>
  <si>
    <t>631351102R00</t>
  </si>
  <si>
    <t>722</t>
  </si>
  <si>
    <t>722-A</t>
  </si>
  <si>
    <t>767</t>
  </si>
  <si>
    <t>767911120R00</t>
  </si>
  <si>
    <t>767911130RT1</t>
  </si>
  <si>
    <t>767995101R00</t>
  </si>
  <si>
    <t>767912110RT1</t>
  </si>
  <si>
    <t>767920210R00</t>
  </si>
  <si>
    <t>608-A</t>
  </si>
  <si>
    <t>767920230R00</t>
  </si>
  <si>
    <t>608- B</t>
  </si>
  <si>
    <t>998767101R00</t>
  </si>
  <si>
    <t>89</t>
  </si>
  <si>
    <t>899102111RT2</t>
  </si>
  <si>
    <t>96</t>
  </si>
  <si>
    <t>966006215R00</t>
  </si>
  <si>
    <t>961044111R00</t>
  </si>
  <si>
    <t>968071136R00</t>
  </si>
  <si>
    <t>767911822R00</t>
  </si>
  <si>
    <t>H15</t>
  </si>
  <si>
    <t>998152121R00</t>
  </si>
  <si>
    <t>M21</t>
  </si>
  <si>
    <t>220 - A</t>
  </si>
  <si>
    <t>220 - B</t>
  </si>
  <si>
    <t>210810001RT1</t>
  </si>
  <si>
    <t>210020741R00</t>
  </si>
  <si>
    <t>12710142</t>
  </si>
  <si>
    <t>S</t>
  </si>
  <si>
    <t>979087311R00</t>
  </si>
  <si>
    <t>979087391R00</t>
  </si>
  <si>
    <t>979095312R00</t>
  </si>
  <si>
    <t>979081111R00</t>
  </si>
  <si>
    <t>979082119R00</t>
  </si>
  <si>
    <t>979990103R00</t>
  </si>
  <si>
    <t>979990161R00</t>
  </si>
  <si>
    <t>979990001R00</t>
  </si>
  <si>
    <t>Oprava výběru pro ličky (nutrie) v části p.p.č.426/1, v areálu ZOO Děčín, k.ú. Podmokly</t>
  </si>
  <si>
    <t>Oprava a údržba</t>
  </si>
  <si>
    <t>p.p.č.426/1, k.ú. Podmokly</t>
  </si>
  <si>
    <t>Zkrácený popis</t>
  </si>
  <si>
    <t>Rozměry</t>
  </si>
  <si>
    <t>Hloubené vykopávky</t>
  </si>
  <si>
    <t>Hloubení rýh š.do 60 cm v hor.3 do 50 m3, RUČNĚ- (mimo čelní  stranu)</t>
  </si>
  <si>
    <t>Přípl.za lepivost,hloubení rýh 60 cm,hor.3,RUČNĚ - 100%</t>
  </si>
  <si>
    <t>Hloubení rýh š.do 200 cm hor.3 do 50 m3,STROJNĚ - pouze  čelní strana</t>
  </si>
  <si>
    <t>Přípl.za lepivost,hloubení rýh 200cm,hor.3,STROJNĚ - max.1/2</t>
  </si>
  <si>
    <t>Hloubení rýh š.do 200 cm hor.3 do 50 m3,STROJNĚ - nová přístupová cesta</t>
  </si>
  <si>
    <t>Hloubení rýh š.do 200 cm hor.3 do 50 m3,STROJNĚ - nová šachta pro odvodnění</t>
  </si>
  <si>
    <t>Přemístění výkopku</t>
  </si>
  <si>
    <t>Vodorovné přemíst. výkopku nošením hor.1-4, do 10m  (dočasná deponie) - ze svahu</t>
  </si>
  <si>
    <t>Příplatek za každých  dalších 10 m nošení výkopku z hor.1-4 -  do 50-ti metrů</t>
  </si>
  <si>
    <t>Vodorovné přemíst.výkopku, kolečko hor.1-4, do 10 m   (dočasná deponie) - čelní strana + nová cesta+ nová šachta</t>
  </si>
  <si>
    <t>Příplatek za dalších 10 m, kolečko, výkop. z hor.1- 4 - do 20-ti metrů</t>
  </si>
  <si>
    <t>Nakládání výkopku z hor.1-4 v množství do 100 m3 (odečítám zásypy)</t>
  </si>
  <si>
    <t>Vodorovné přemístění výkopku z hor.1-4 do 10000 m (předpoklad  skládka  fi.Hrdý Dobkovice)</t>
  </si>
  <si>
    <t>Příplatek k vod. přemístění hor.1-4 za další 1 km - celkem  20 km (jedna cesta 10 km)</t>
  </si>
  <si>
    <t>Poplatek za skládku horniny 1- 4</t>
  </si>
  <si>
    <t>Konstrukce ze zemin</t>
  </si>
  <si>
    <t>Zásyp ruční se zhutněním - hrubé kamenivo - čelní strana</t>
  </si>
  <si>
    <t>Dodávka -  Kamenivo těžené frakce 32/63  (1 m3 = cca 1,8 tuny)</t>
  </si>
  <si>
    <t>Zásyp ruční se zhutněním  - čelní strana  - bude použita vytěžená zemina !</t>
  </si>
  <si>
    <t>Zásyp ruční se zhutněním  - vše, mimo čelní stranu   - bude použita vytěžená zemina !</t>
  </si>
  <si>
    <t>Zásyp ruční se zhutněním  - stávající jezírko zasypat (bez demolice), plocha  cca 8 m2   - bude použita vytěžená zemina !</t>
  </si>
  <si>
    <t>Povrchové úpravy terénu</t>
  </si>
  <si>
    <t>Plošná úprava terénu, nerovnosti do 10 cm svah 1:1 -  v místě výkopů  základů  na š.2,00m z každé strany  (začištění)</t>
  </si>
  <si>
    <t>Plošná úprava terénu, nerovnosti do 10 cm v rovině- čelní strana  (š.2,0metry  na každou stranu)</t>
  </si>
  <si>
    <t>Úprava podloží a základové spáry</t>
  </si>
  <si>
    <t>Trativody z drenážních trubek, včetně dodávky perfor.dřenáž.trouby DN 150 mm, lože ze štěrkopísku, obsyp kamenivem</t>
  </si>
  <si>
    <t>Základy</t>
  </si>
  <si>
    <t>Beton základových pasů prostý C 16/20- čelní strana</t>
  </si>
  <si>
    <t>Beton základových pasů  prostý C 16/20- práh u branky  (čelní strana)</t>
  </si>
  <si>
    <t>Bednění stěn základových pasů - zřízení, bednící materiál prkna (pouze  ve  spodní  části - jedna strana)</t>
  </si>
  <si>
    <t>Bednění stěn základových pasů - odstranění</t>
  </si>
  <si>
    <t>Bednění kotev.otvorů pasů do 0,01 m2, hl. 0,25 m - v místě  ukotvení některých sloupků  (pouze v horní části !)- bude upřesněno při provádění</t>
  </si>
  <si>
    <t>Beton základových pasů prostý C 16/20 -  MIMO  čelní stranu</t>
  </si>
  <si>
    <t>Nová šachta odvodnění - beton základových zdí prostý C 16/20 -  rozměr 70x70x*120 cm, vnitřní rozměr 60x60x110 cm</t>
  </si>
  <si>
    <t>Nová šachta - bednění stěn základových zdí, jednostranné-zřízení</t>
  </si>
  <si>
    <t>Bednění stěn základových zdí, jednostranné-odstran</t>
  </si>
  <si>
    <t>Zpevňování hornin a konstrukcí</t>
  </si>
  <si>
    <t>Vrstva geotextilie Geofiltex 300g/m2 - u základů ve spodní části oplocení, ztratné 10%</t>
  </si>
  <si>
    <t>Vrstva geotextilie Geofiltex 300g/m2 - nová přístupová cesta  (mezi každou vrstvu štěrkodrti), ztratné 10%</t>
  </si>
  <si>
    <t>Sloupy a pilíře, stožáry a rámové stojky</t>
  </si>
  <si>
    <t>Osazení sloupku řadového se zabetonováním, včetně brankového</t>
  </si>
  <si>
    <t>Dodávka - sloupek plotový ocelový, poplastovaný, (u branky) d 60 mm, h 260 cm -  barva zelená</t>
  </si>
  <si>
    <t>Dodávka - sloupek plotový ocelový, poplastovaný, (průběžný),  d 48 mm, h 260 cm - barva zelená</t>
  </si>
  <si>
    <t>Osazení sloupku se vzpěrou  se zabetonováním</t>
  </si>
  <si>
    <t>Dodávka - sloupek plotový (kraj,roh, vzpěra) ocel.poplastovaný,  2600/48x1,5 mm, barva zelená</t>
  </si>
  <si>
    <t>Dodávka - vzpěra plotová d 38 mm, výška 200 cm</t>
  </si>
  <si>
    <t>Svorka upínací US na sloupek - napínací element,  včetně spojovacího materiálu  (3 ks na 1 sloupek)</t>
  </si>
  <si>
    <t>Osazení zdroje impulsu, zapojení ohradníku, vč. uzemnění</t>
  </si>
  <si>
    <t>Stěny a příčky</t>
  </si>
  <si>
    <t>Zdivo plot.tl.200mm z tvar.1str.štíp.přír.KB-BLOK, včetně zalití betonem - podezdívka  u čelní části plotu</t>
  </si>
  <si>
    <t>Zdivo plot.tl.200mm z tvar.1str.štíp.přír.KB-BLOK, včetně zalití betonem - podezdívka  ostatní  (svahy)</t>
  </si>
  <si>
    <t>Výztuž základových zdí z tvárnic, do 12 mm z oceli 10505 (R) -  svisle, á po 500 mm  (ztratné 10%)</t>
  </si>
  <si>
    <t>Výztuž základových zdí z tvárnic, do 12 mm z oceli 10505 (R) -  vodorovné, v každé druhé ložné spáře (ztratné 10%)</t>
  </si>
  <si>
    <t>Podkladní vrstvy komunikací, letišť a ploch</t>
  </si>
  <si>
    <t>Nová přístupová cesta - mlatový kryt z mech.zpevněného kameniva tl. 4 cm,  frakce 0-4 mm</t>
  </si>
  <si>
    <t>Nová přístupová cesta - podklad ze štěrkodrti po zhutnění tloušťky 10 cm, frakce 0-32 mm (střední vrstva)</t>
  </si>
  <si>
    <t>Nová přístupová cesta -  podklad ze štěrkodrti po zhutnění tloušťky 15 cm, štěrkodrť frakce 0-32 mm  (spodní vrstva)</t>
  </si>
  <si>
    <t>Podlahy a podlahové konstrukce</t>
  </si>
  <si>
    <t>Mazanina z betonu C 16/20, tloušťka 5 cm - vybetonovaná okapnice ( na zídce),  ve  spádu</t>
  </si>
  <si>
    <t>Bednění  okapnice - zřízení</t>
  </si>
  <si>
    <t>Bednění stěn, rýh a otvorů v podlahách -odstranění</t>
  </si>
  <si>
    <t>Vnitřní vodovod</t>
  </si>
  <si>
    <t>Venkovní vodovod - úprava výtokového ventilu (bude upřesněno při provádění)</t>
  </si>
  <si>
    <t>Konstrukce doplňkové stavební (zámečnické)</t>
  </si>
  <si>
    <t>Montáž oplocení z pletiva, napínací drát, napínák, včetně  dodávky poplast.pletiva v.160 cm, barva zelená (pouze čelní strana)</t>
  </si>
  <si>
    <t>Montáž oplocení z pletiva, napínací drát, napínák,  včetně  dodávky poplastovaného  pletiva v 180 cm, barva zelená (mimo čelní stranu)</t>
  </si>
  <si>
    <t>Výroba a montáž kov. atyp. konstr. do 5 kg - nástavec pro ochranný drátěný límec (profil L 30/30/5, dl. 2x 500 mm +zinkování+nátěr, 3x přišroubovat)</t>
  </si>
  <si>
    <t>Montáž oplocení - horní ochranný límec,  š. 50 cm, včetně  dodávky pletiva a napínacího drátu - ATYP</t>
  </si>
  <si>
    <t>Montáž oplocení - dorovnávací trojúhelníky, včetně  dodávky pletiva a napínacího drátu - ATYP  (upřesnění při provádění)</t>
  </si>
  <si>
    <t>Montáž vrátek na ocelové sloupky, plochy do 2 m2  (čelní)</t>
  </si>
  <si>
    <t>Dodávka -  Branka plotová jednokř., rozměr 1085*1950 mm, poplastovaná, TYPOVÁ, včetně kování a zámku</t>
  </si>
  <si>
    <t>Montáž vrátek na ocelové sloupky, plochy do 6 m2 (boční)</t>
  </si>
  <si>
    <t>Dodávka -  Branka plotová jednokř. rozměr 1700x2800 mm, se zinkováním + zelený nátěr, včetně kování a zámku - ATYP</t>
  </si>
  <si>
    <t>Přesun hmot pro zámečnické konstr., výšky do 6 m</t>
  </si>
  <si>
    <t>Ostatní konstrukce a práce na trubním vedení</t>
  </si>
  <si>
    <t>Osazení poklopu s rámem do 100 kg, včetně dodávky poklopu s lit. rámem, 60x60x cm - nová šachta</t>
  </si>
  <si>
    <t>Bourání konstrukcí</t>
  </si>
  <si>
    <t>Odstranění  sloupků dřevěných ( osazených do země  nebo do betonu)</t>
  </si>
  <si>
    <t>Bourání základů z betonu prostého - u  části  sloupků, včetně ocel. chráničky  (odhad - bude upřesněno při provádění)</t>
  </si>
  <si>
    <t>Vyvěšení, kovových křídel vrat a vrátek,  do 4 m2</t>
  </si>
  <si>
    <t>Demontáž drátěného pletiva výšky do 2,0 m + horní ochranný drátěný límec</t>
  </si>
  <si>
    <t>Objekty pozemní zvláštní</t>
  </si>
  <si>
    <t>Přesun nových hmot, oplocení</t>
  </si>
  <si>
    <t>Elektromontáže</t>
  </si>
  <si>
    <t>Odpojení  el. ohradníku, demontáž  stávajícího  vedení</t>
  </si>
  <si>
    <t>Připojení  el. ohradníku, včetně dodávky zdroje (pouze pokud nelze použít  stávající zdroj)</t>
  </si>
  <si>
    <t>Rozvod nového el. ohradníku, včetně  dodávky kabelu, spojek, koncovek, úchytek, výstr.tabulek, (1x u paty a 1x na límci plotu) - kolem celého plotu</t>
  </si>
  <si>
    <t>Zákryt plný z plechu - výroba a montáž, ATYP - stávající šachty (přepad z jezírka)</t>
  </si>
  <si>
    <t>Dodávka - plech nerez tl.10,0 mm, tabule 1000 x 2000 mm  (stačí jedna tabule)</t>
  </si>
  <si>
    <t>Přesuny sutí</t>
  </si>
  <si>
    <t>Vodorovné přemístění suti nošením do 10 m</t>
  </si>
  <si>
    <t>Příplatek za nošení suti každých dalších 10 m - do 50-ti metrů</t>
  </si>
  <si>
    <t>Naložení a složení suti</t>
  </si>
  <si>
    <t>Odvoz suti a vybour. hmot na skládku do 1 km (předpoklad skládka fi.Hrdý, Dobkovice)</t>
  </si>
  <si>
    <t>Příplatek k přesunu suti za každých dalších 1000 m (celkem 20 km- jedna cesta 10 km)</t>
  </si>
  <si>
    <t>Poplatek za skládku suti - beton do 30x30 cm</t>
  </si>
  <si>
    <t>Poplatek za skládku suti - dřevo</t>
  </si>
  <si>
    <t>Poplatek za skládku stavební suti - ostatní  (např. pletivo)</t>
  </si>
  <si>
    <t>Doba výstavby:</t>
  </si>
  <si>
    <t>Začátek výstavby:</t>
  </si>
  <si>
    <t>Konec výstavby:</t>
  </si>
  <si>
    <t>Zpracováno dne:</t>
  </si>
  <si>
    <t>MJ</t>
  </si>
  <si>
    <t>m3</t>
  </si>
  <si>
    <t>t</t>
  </si>
  <si>
    <t>m2</t>
  </si>
  <si>
    <t>m</t>
  </si>
  <si>
    <t>kus</t>
  </si>
  <si>
    <t>kpl</t>
  </si>
  <si>
    <t>kg</t>
  </si>
  <si>
    <t>Množství</t>
  </si>
  <si>
    <t>27.09.2021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</si>
  <si>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</si>
  <si>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</si>
  <si>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</si>
  <si>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</si>
  <si>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</si>
  <si>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</si>
  <si>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</si>
  <si>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</si>
  <si>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</si>
  <si>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ZOO Děčín - Pastýřská stěna, příspěvková organizac</t>
  </si>
  <si>
    <t>SORTKROJEKT Šárka Mancová</t>
  </si>
  <si>
    <t> </t>
  </si>
  <si>
    <t>Montáž</t>
  </si>
  <si>
    <t>Celkem</t>
  </si>
  <si>
    <t>Hmotnost (t)</t>
  </si>
  <si>
    <t>Jednot.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</si>
  <si>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</si>
  <si>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</si>
  <si>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</si>
  <si>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</si>
  <si>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</si>
  <si>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</si>
  <si>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</si>
  <si>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</si>
  <si>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</si>
  <si>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13_</t>
  </si>
  <si>
    <t>16_</t>
  </si>
  <si>
    <t>17_</t>
  </si>
  <si>
    <t>18_</t>
  </si>
  <si>
    <t>21_</t>
  </si>
  <si>
    <t>27_</t>
  </si>
  <si>
    <t>28_</t>
  </si>
  <si>
    <t>33_</t>
  </si>
  <si>
    <t>34_</t>
  </si>
  <si>
    <t>56_</t>
  </si>
  <si>
    <t>63_</t>
  </si>
  <si>
    <t>722_</t>
  </si>
  <si>
    <t>767_</t>
  </si>
  <si>
    <t>89_</t>
  </si>
  <si>
    <t>96_</t>
  </si>
  <si>
    <t>H15_</t>
  </si>
  <si>
    <t>M21_</t>
  </si>
  <si>
    <t>S_</t>
  </si>
  <si>
    <t>1_</t>
  </si>
  <si>
    <t>2_</t>
  </si>
  <si>
    <t>3_</t>
  </si>
  <si>
    <t>5_</t>
  </si>
  <si>
    <t>6_</t>
  </si>
  <si>
    <t>72_</t>
  </si>
  <si>
    <t>76_</t>
  </si>
  <si>
    <t>8_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</si>
  <si>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</si>
  <si>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</si>
  <si>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</si>
  <si>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</si>
  <si>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</si>
  <si>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</si>
  <si>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</si>
  <si>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</si>
  <si>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</si>
  <si>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Výkaz výměr</t>
  </si>
  <si>
    <t>2,114*(0,90+1,35)/2*0,60   </t>
  </si>
  <si>
    <t>1,51*(1,00+1,30)/2*0,60   </t>
  </si>
  <si>
    <t>1,50*(0,90+1,80)/2*0,60   </t>
  </si>
  <si>
    <t>1,50*(1,30+2,30)/2*0,60   </t>
  </si>
  <si>
    <t>1,50*(1,40+2,30)/2*0,60   </t>
  </si>
  <si>
    <t>2,00*(1,30+1,60)/2*0,60   </t>
  </si>
  <si>
    <t>2,00*(0,90+1,20)/2*0,60   </t>
  </si>
  <si>
    <t>2,50*(1,00+1,40)/2*0,60   </t>
  </si>
  <si>
    <t>1,00*(1,00+1,40)/2*0,60   </t>
  </si>
  <si>
    <t>1,00*(1,30+1,70)/2*0,60   </t>
  </si>
  <si>
    <t>1,50*(1,20+1,85)/2*0,60   </t>
  </si>
  <si>
    <t>1,00*(1,40+1,80)/2*0,60   </t>
  </si>
  <si>
    <t>0,90*(1,30+1,70)/2*0,60   </t>
  </si>
  <si>
    <t>0   </t>
  </si>
  <si>
    <t>1,05*(0,90+1,10)/2*0,60   </t>
  </si>
  <si>
    <t>1,00*(0,90+1,10)*0,60*8   </t>
  </si>
  <si>
    <t>6,90*0,90*0,60   </t>
  </si>
  <si>
    <t>1,00*(1,50+1,20)/2*0,60   </t>
  </si>
  <si>
    <t>1,00*(1,35+1,10)/2*0,60   </t>
  </si>
  <si>
    <t>1,00*(1,50+1,15)/2*0,60   </t>
  </si>
  <si>
    <t>1,00*(1,30+1,00)/2*0,60   </t>
  </si>
  <si>
    <t>1,00*(1,35+1,15)/2*0,60   </t>
  </si>
  <si>
    <t>1,32*(1,30+0,90)/2*0,60   </t>
  </si>
  <si>
    <t>+43,28*20/100   </t>
  </si>
  <si>
    <t>1,05*0,90*(0,90+1,30)/2   </t>
  </si>
  <si>
    <t>3,00*(0,90+1,10)/2*(0,90+1,30)/2   </t>
  </si>
  <si>
    <t>0,80*(0,90+1,10)/2*(0,90+1,30)/2   </t>
  </si>
  <si>
    <t>2,00*(0,90+1,10)/2*(0,90+1,30)/2   </t>
  </si>
  <si>
    <t>(1,085+0,20)*0,90*(0,90+1,30)/2   </t>
  </si>
  <si>
    <t>3,40*(0,90+1,10)/2*(0,90+1,30)/2   </t>
  </si>
  <si>
    <t>1,925*(0,90+1,10)/2*(0,90+1,30)/2   </t>
  </si>
  <si>
    <t>18,28915/2   </t>
  </si>
  <si>
    <t>6,00*2,00*(0,15+0,10+0,04)   </t>
  </si>
  <si>
    <t>0,80*0,80*1,20   </t>
  </si>
  <si>
    <t>44,75455*4   </t>
  </si>
  <si>
    <t>18,28915+3,48+0,768   </t>
  </si>
  <si>
    <t>22,53715*1   </t>
  </si>
  <si>
    <t>44,75455+18,28915+3,48+0,768   </t>
  </si>
  <si>
    <t>-0,6744   </t>
  </si>
  <si>
    <t>-12,61199   </t>
  </si>
  <si>
    <t>-4,80   </t>
  </si>
  <si>
    <t>49,20531*(20-10)   </t>
  </si>
  <si>
    <t>1,05*(0,90+0,20)*(0,30+0,70)/2   </t>
  </si>
  <si>
    <t>3,00*(1,10+1,30)/2*(0,30+0,70)/2   </t>
  </si>
  <si>
    <t>0,80*(1,10+1,20)/2*(0,30+0,70)/2   </t>
  </si>
  <si>
    <t>2,00*(1,10+1,20)/2*(0,30+0,70)/2   </t>
  </si>
  <si>
    <t>1,285*1,10*(0,30+0,70)/2   </t>
  </si>
  <si>
    <t>3,40*(1,10+1,30)/2*(0,30+0,70)/2   </t>
  </si>
  <si>
    <t>1,925*(1,00+1,30)/2*(0,30+0,70)/2   </t>
  </si>
  <si>
    <t>(1,925+3,40+3,40+1,285+2,00+0,80+3,00+1,05)*0,20*0,20   </t>
  </si>
  <si>
    <t>10,55553*1,8   </t>
  </si>
  <si>
    <t>(1,925+3,40+3,40+4,085+3,00+1,05)*0,20*0,20   </t>
  </si>
  <si>
    <t>44,75455   </t>
  </si>
  <si>
    <t>-30,07076   </t>
  </si>
  <si>
    <t>-1,50*(0,50+0,10)/2*0,20   </t>
  </si>
  <si>
    <t>-1,50*(1,00+0,10)/2*0,20   </t>
  </si>
  <si>
    <t>-1,50*(0,95+0,05)/2*0,20   </t>
  </si>
  <si>
    <t>-1,50*(1,10+0,20)/2*0,20   </t>
  </si>
  <si>
    <t>-2,00*(0,20+0,00)/2*0,20   </t>
  </si>
  <si>
    <t>-2,00*(0,30+0,0)/2*0,20   </t>
  </si>
  <si>
    <t>-2,50*(0,50+0,10)/2*0,20   </t>
  </si>
  <si>
    <t>-1,00*(0,50+0,10)/2*0,20   </t>
  </si>
  <si>
    <t>-1,00*(0,80+0,40)/2*0,20   </t>
  </si>
  <si>
    <t>-1,50*(0,70+0,0)/2*0,20   </t>
  </si>
  <si>
    <t>-1,00*(0,95+0,50)/2*0,20   </t>
  </si>
  <si>
    <t>-1,00*(0,60+0,20)/2*0,20   </t>
  </si>
  <si>
    <t>-0,90*(0,80+0,40)/2*0,20   </t>
  </si>
  <si>
    <t>-1,05*0,20/2*0,20   </t>
  </si>
  <si>
    <t>-8*(1,00*0,20/2*0,20)   </t>
  </si>
  <si>
    <t>-6,90*0   </t>
  </si>
  <si>
    <t>-1,00*(0,60+0,30)/2*0,20   </t>
  </si>
  <si>
    <t>-1,00*(0,50+0,20)/2*0,20   </t>
  </si>
  <si>
    <t>-1,00*(0,50+0,25)/2*0,20   </t>
  </si>
  <si>
    <t>-1,00*(0,45+0,15)/2*0,20   </t>
  </si>
  <si>
    <t>-1,32*(0,40+0)/2*0,20   </t>
  </si>
  <si>
    <t>8,00*0,60   </t>
  </si>
  <si>
    <t>(2,14+1,51+1,50+1,50+1,50+2,00+2,00+2,50+1,00+1,00+1,50+1,00+1,00+0,90)* (2,00+2,00)   </t>
  </si>
  <si>
    <t>(1,05+8,00+6,90+5,00+1,32)*(2,00+2,00)   </t>
  </si>
  <si>
    <t>(1,925+3,40+3,40+4,085+3,00+1,05)*(2,00+2,00)   </t>
  </si>
  <si>
    <t>1,925+3,40+3,40+4,085+3,00+1,05   </t>
  </si>
  <si>
    <t>+4,00   </t>
  </si>
  <si>
    <t>1,05*0,90*0,60   </t>
  </si>
  <si>
    <t>3,00*0,90*0,60   </t>
  </si>
  <si>
    <t>4,085*0,90*0,60   </t>
  </si>
  <si>
    <t>3,40*0,90*0,60   </t>
  </si>
  <si>
    <t>1,925*0,90*0,60   </t>
  </si>
  <si>
    <t>1,085*0,20*0,20   </t>
  </si>
  <si>
    <t>1,05*0,90   </t>
  </si>
  <si>
    <t>3,00*0,90   </t>
  </si>
  <si>
    <t>4,085*0,90   </t>
  </si>
  <si>
    <t>3,40*0,90   </t>
  </si>
  <si>
    <t>1,925*0,90   </t>
  </si>
  <si>
    <t>(1,381*0,20)*2   </t>
  </si>
  <si>
    <t>2,114*0,90*0,60   </t>
  </si>
  <si>
    <t>1,51*0,90*0,60   </t>
  </si>
  <si>
    <t>1,50*0,90*0,60   </t>
  </si>
  <si>
    <t>1,50*1,30*0,60   </t>
  </si>
  <si>
    <t>1,50*1,20*0,60   </t>
  </si>
  <si>
    <t>2,00*1,40*0,60   </t>
  </si>
  <si>
    <t>2,00*0,90*0,60   </t>
  </si>
  <si>
    <t>2,50*0,90*0,60   </t>
  </si>
  <si>
    <t>2*(1,00*0,90*0,60)   </t>
  </si>
  <si>
    <t>1,00*0,90*0,60   </t>
  </si>
  <si>
    <t>1,00*1,20*0,60   </t>
  </si>
  <si>
    <t>0,90*0,90*0,60   </t>
  </si>
  <si>
    <t>8*(1,00*0,90*0,60)   </t>
  </si>
  <si>
    <t>5*(1,00*0,90*0,60)   </t>
  </si>
  <si>
    <t>1,32*0,90*0,60   </t>
  </si>
  <si>
    <t>+25,06*20/100   </t>
  </si>
  <si>
    <t>0,70*0,70*01,20   </t>
  </si>
  <si>
    <t>-0,60*0,60*1,10   </t>
  </si>
  <si>
    <t>(0,70+0,70)*2*1,20   </t>
  </si>
  <si>
    <t>(0,60+0,60)*2*1,10   </t>
  </si>
  <si>
    <t>0,60*0,60   </t>
  </si>
  <si>
    <t>(1,925+3,40+3,40+4,085+3,00+1,05)*2,40   </t>
  </si>
  <si>
    <t>+40,464*10/100   </t>
  </si>
  <si>
    <t>(2,00*6,00)*2   </t>
  </si>
  <si>
    <t>+24,00*10/100   </t>
  </si>
  <si>
    <t>9+12+9   </t>
  </si>
  <si>
    <t>30-4   </t>
  </si>
  <si>
    <t>8+10+12   </t>
  </si>
  <si>
    <t>(17+23+20)*3   </t>
  </si>
  <si>
    <t>1,05*0,60   </t>
  </si>
  <si>
    <t>3,00*0,80   </t>
  </si>
  <si>
    <t>0,80*0,80   </t>
  </si>
  <si>
    <t>1,904*0,60   </t>
  </si>
  <si>
    <t>3,40*0,80   </t>
  </si>
  <si>
    <t>1,925*0,80   </t>
  </si>
  <si>
    <t>1,51*0,60   </t>
  </si>
  <si>
    <t>1,50*1,20   </t>
  </si>
  <si>
    <t>1,50*1,00   </t>
  </si>
  <si>
    <t>2,00*0,40   </t>
  </si>
  <si>
    <t>2,50*0,60   </t>
  </si>
  <si>
    <t>1,00*1,20   </t>
  </si>
  <si>
    <t>1,00*1,00   </t>
  </si>
  <si>
    <t>0,90*1,00   </t>
  </si>
  <si>
    <t>1,05*0,40   </t>
  </si>
  <si>
    <t>1,00*0,60   </t>
  </si>
  <si>
    <t>1,00*0,40   </t>
  </si>
  <si>
    <t>1,00*0,80   </t>
  </si>
  <si>
    <t>6,90*0,20   </t>
  </si>
  <si>
    <t>1,00*1,000   </t>
  </si>
  <si>
    <t>1,00*0,800   </t>
  </si>
  <si>
    <t>1,32*0,80   </t>
  </si>
  <si>
    <t>(0,40+0,30)*16*0,888/1000   </t>
  </si>
  <si>
    <t>(0,60+0,30)*22*0,888/1000   </t>
  </si>
  <si>
    <t>(0,80+0,30)*38*0,888/1000   </t>
  </si>
  <si>
    <t>(1,00+0,30)*15*0,888/1000   </t>
  </si>
  <si>
    <t>(1,20+0,30)*14*0,888/1000   </t>
  </si>
  <si>
    <t>+0,10062*10/100   </t>
  </si>
  <si>
    <t>(2,00+2,00+1,05+1,00+1,00+1,00)*2*0,888/1000   </t>
  </si>
  <si>
    <t>(1,05+2,50+1,51+1,00+1,00+1,00+1,00+1,00+1,00)*2*2*0,88/1000   </t>
  </si>
  <si>
    <t>(3,00+0,80+3,40+3,40+1,925+1,00+1,00+1,00+1,32)*2*2*0,888/1000   </t>
  </si>
  <si>
    <t>(1,50+1,00+1,00+0,90+1,00)*2*2*0,888/1000   </t>
  </si>
  <si>
    <t>(1,50+1,50+1,00+1,50+1,00)*2*3*0,888/1000   </t>
  </si>
  <si>
    <t>0,16687*10/100   </t>
  </si>
  <si>
    <t>2,00*6,00   </t>
  </si>
  <si>
    <t>(1,05+3,00+0,80+2,00)*0,25   </t>
  </si>
  <si>
    <t>(3,40+3,40+1,925)*0,25   </t>
  </si>
  <si>
    <t>(1,51+1,50+1,50+1,50+2,00+2,00+2,50+2,00+2,50+1,90)*0,25   </t>
  </si>
  <si>
    <t>(1,05+2,00+2,00+2,00+2,00+6,90+2,00+2,00+2,32)*0,25   </t>
  </si>
  <si>
    <t>(1,05+3,00+2,80)*(0,10+0,05)   </t>
  </si>
  <si>
    <t>(3,40+3,40+1,925)*(0,10+0,05)   </t>
  </si>
  <si>
    <t>(1,51+1,50+1,50+1,50+2,00+2,00+2,50+2,00+2,50+1,90)*(0,10+0,05)   </t>
  </si>
  <si>
    <t>(1,05+8,00+6,90+2,00+2,00+2,32)*(0,10+0,05)   </t>
  </si>
  <si>
    <t>1,05+3,00+0,80+2,00+3,40+3,40+1,925   </t>
  </si>
  <si>
    <t>1,50+1,50+1,50+1,50+2,00+2,00+2,50+2,00+2,50+1,90   </t>
  </si>
  <si>
    <t>2,32+2,00+2,00+6,90+8,00+1,05   </t>
  </si>
  <si>
    <t>1,36*17   </t>
  </si>
  <si>
    <t>1,36*25   </t>
  </si>
  <si>
    <t>1,36*20   </t>
  </si>
  <si>
    <t>1,05+3,00+4,085+3,40+3,40+1,925   </t>
  </si>
  <si>
    <t>2,114+1,50+1,50+1,50+1,50+2,00+2,00+2,50+2,00+2,50+1,90   </t>
  </si>
  <si>
    <t>1,05+2,00+2,00+2,00+2,00+6,90+2,00+2,00+2,32   </t>
  </si>
  <si>
    <t>1,51+1,50+1,50+1,50+2,00+2,00+2,50+2,00+2,50   </t>
  </si>
  <si>
    <t>1,05+2,00+2,00+2,00   </t>
  </si>
  <si>
    <t>2,00+2,00   </t>
  </si>
  <si>
    <t>(0,40*0,40*0,60)*22   </t>
  </si>
  <si>
    <t>6,85+8,66   </t>
  </si>
  <si>
    <t>3,50+4,45+6,63+6,50   </t>
  </si>
  <si>
    <t>6,32+6,90+9,05   </t>
  </si>
  <si>
    <t>19,00+9,1131+100,3361+0,0355+17,1716+11,3547+8,9635+1,9114   </t>
  </si>
  <si>
    <t>0,0476+0,1666   </t>
  </si>
  <si>
    <t>1,925+3,40+3,40+4,0875+3,00+1,05   </t>
  </si>
  <si>
    <t>2,114+1,51+1,50+1,50+1,50+2,00+2,00+2,50+2,00+2,50+1,90   </t>
  </si>
  <si>
    <t>1,05+2,00+2,00+2,00+2,00+6,90+2,00+2,00+3,32   </t>
  </si>
  <si>
    <t>1,00*1,10   </t>
  </si>
  <si>
    <t>1,00*2,00   </t>
  </si>
  <si>
    <t>4,458*4   </t>
  </si>
  <si>
    <t>4,458*(20-1)   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</si>
  <si>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</si>
  <si>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</si>
  <si>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</si>
  <si>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</si>
  <si>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</si>
  <si>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</si>
  <si>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</si>
  <si>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</si>
  <si>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</si>
  <si>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</si>
  <si>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</si>
  <si>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</si>
  <si>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</si>
  <si>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</si>
  <si>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</si>
  <si>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</si>
  <si>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</si>
  <si>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</si>
  <si>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</si>
  <si>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</si>
  <si>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</si>
  <si>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</si>
  <si>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</si>
  <si>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</si>
  <si>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</si>
  <si>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</si>
  <si>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</si>
  <si>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</si>
  <si>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</si>
  <si>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</si>
  <si>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</si>
  <si>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</si>
  <si>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</si>
  <si>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</si>
  <si>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</si>
  <si>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</si>
  <si>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</si>
  <si>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</si>
  <si>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</si>
  <si>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</si>
  <si>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</si>
  <si>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</si>
  <si>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</si>
  <si>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00078921/</t>
  </si>
  <si>
    <t>49066960/</t>
  </si>
  <si>
    <t>Poznámka</t>
  </si>
  <si>
    <t>NUS celkem 6%</t>
  </si>
  <si>
    <t>DOPLŇTE  CENY - VIZ.  MODRÁ POLE</t>
  </si>
  <si>
    <t>Stavební rozpočet - SLEPÝ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</si>
</sst>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00"/>
  </numFmts>
  <fonts count="52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9"/>
      <color indexed="61"/>
      <name val="Arial"/>
      <family val="0"/>
    </font>
    <font>
      <i/>
      <sz val="9"/>
      <color indexed="62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8"/>
      <color indexed="30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8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8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11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8" fillId="33" borderId="11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8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9" fontId="8" fillId="33" borderId="16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49" fontId="14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4" fillId="0" borderId="21" xfId="0" applyNumberFormat="1" applyFont="1" applyFill="1" applyBorder="1" applyAlignment="1" applyProtection="1">
      <alignment horizontal="right" vertical="center"/>
      <protection/>
    </xf>
    <xf numFmtId="49" fontId="14" fillId="0" borderId="21" xfId="0" applyNumberFormat="1" applyFont="1" applyFill="1" applyBorder="1" applyAlignment="1" applyProtection="1">
      <alignment horizontal="right" vertical="center"/>
      <protection/>
    </xf>
    <xf numFmtId="4" fontId="14" fillId="0" borderId="2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4" fillId="33" borderId="21" xfId="0" applyNumberFormat="1" applyFont="1" applyFill="1" applyBorder="1" applyAlignment="1" applyProtection="1">
      <alignment horizontal="left" vertical="center"/>
      <protection/>
    </xf>
    <xf numFmtId="49" fontId="8" fillId="33" borderId="21" xfId="0" applyNumberFormat="1" applyFont="1" applyFill="1" applyBorder="1" applyAlignment="1" applyProtection="1">
      <alignment horizontal="left" vertical="center"/>
      <protection/>
    </xf>
    <xf numFmtId="4" fontId="8" fillId="33" borderId="21" xfId="0" applyNumberFormat="1" applyFont="1" applyFill="1" applyBorder="1" applyAlignment="1" applyProtection="1">
      <alignment horizontal="right" vertical="center"/>
      <protection/>
    </xf>
    <xf numFmtId="49" fontId="8" fillId="33" borderId="21" xfId="0" applyNumberFormat="1" applyFont="1" applyFill="1" applyBorder="1" applyAlignment="1" applyProtection="1">
      <alignment horizontal="right" vertical="center"/>
      <protection/>
    </xf>
    <xf numFmtId="49" fontId="5" fillId="0" borderId="21" xfId="0" applyNumberFormat="1" applyFont="1" applyFill="1" applyBorder="1" applyAlignment="1" applyProtection="1">
      <alignment horizontal="left" vertical="center"/>
      <protection/>
    </xf>
    <xf numFmtId="4" fontId="5" fillId="0" borderId="21" xfId="0" applyNumberFormat="1" applyFont="1" applyFill="1" applyBorder="1" applyAlignment="1" applyProtection="1">
      <alignment horizontal="right" vertical="center"/>
      <protection/>
    </xf>
    <xf numFmtId="49" fontId="5" fillId="0" borderId="21" xfId="0" applyNumberFormat="1" applyFont="1" applyFill="1" applyBorder="1" applyAlignment="1" applyProtection="1">
      <alignment horizontal="right" vertical="center"/>
      <protection/>
    </xf>
    <xf numFmtId="49" fontId="5" fillId="34" borderId="21" xfId="0" applyNumberFormat="1" applyFont="1" applyFill="1" applyBorder="1" applyAlignment="1" applyProtection="1">
      <alignment horizontal="lef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9" fontId="5" fillId="34" borderId="21" xfId="0" applyNumberFormat="1" applyFont="1" applyFill="1" applyBorder="1" applyAlignment="1" applyProtection="1">
      <alignment horizontal="right" vertical="center"/>
      <protection/>
    </xf>
    <xf numFmtId="49" fontId="6" fillId="0" borderId="21" xfId="0" applyNumberFormat="1" applyFont="1" applyFill="1" applyBorder="1" applyAlignment="1" applyProtection="1">
      <alignment horizontal="left" vertical="center"/>
      <protection/>
    </xf>
    <xf numFmtId="4" fontId="6" fillId="0" borderId="21" xfId="0" applyNumberFormat="1" applyFont="1" applyFill="1" applyBorder="1" applyAlignment="1" applyProtection="1">
      <alignment horizontal="right" vertical="center"/>
      <protection/>
    </xf>
    <xf numFmtId="49" fontId="6" fillId="0" borderId="21" xfId="0" applyNumberFormat="1" applyFont="1" applyFill="1" applyBorder="1" applyAlignment="1" applyProtection="1">
      <alignment horizontal="right" vertical="center"/>
      <protection/>
    </xf>
    <xf numFmtId="49" fontId="6" fillId="34" borderId="21" xfId="0" applyNumberFormat="1" applyFont="1" applyFill="1" applyBorder="1" applyAlignment="1" applyProtection="1">
      <alignment horizontal="left" vertical="center"/>
      <protection/>
    </xf>
    <xf numFmtId="4" fontId="6" fillId="34" borderId="21" xfId="0" applyNumberFormat="1" applyFont="1" applyFill="1" applyBorder="1" applyAlignment="1" applyProtection="1">
      <alignment horizontal="right" vertical="center"/>
      <protection/>
    </xf>
    <xf numFmtId="49" fontId="6" fillId="34" borderId="21" xfId="0" applyNumberFormat="1" applyFont="1" applyFill="1" applyBorder="1" applyAlignment="1" applyProtection="1">
      <alignment horizontal="right" vertical="center"/>
      <protection/>
    </xf>
    <xf numFmtId="49" fontId="8" fillId="33" borderId="21" xfId="0" applyNumberFormat="1" applyFont="1" applyFill="1" applyBorder="1" applyAlignment="1" applyProtection="1">
      <alignment horizontal="left" vertical="center" wrapText="1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49" fontId="5" fillId="34" borderId="21" xfId="0" applyNumberFormat="1" applyFont="1" applyFill="1" applyBorder="1" applyAlignment="1" applyProtection="1">
      <alignment horizontal="left" vertical="center" wrapText="1"/>
      <protection/>
    </xf>
    <xf numFmtId="49" fontId="6" fillId="0" borderId="21" xfId="0" applyNumberFormat="1" applyFont="1" applyFill="1" applyBorder="1" applyAlignment="1" applyProtection="1">
      <alignment horizontal="left" vertical="center" wrapText="1"/>
      <protection/>
    </xf>
    <xf numFmtId="49" fontId="6" fillId="34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166" fontId="6" fillId="0" borderId="21" xfId="0" applyNumberFormat="1" applyFont="1" applyFill="1" applyBorder="1" applyAlignment="1" applyProtection="1">
      <alignment horizontal="right" vertical="center"/>
      <protection/>
    </xf>
    <xf numFmtId="166" fontId="5" fillId="0" borderId="21" xfId="0" applyNumberFormat="1" applyFont="1" applyFill="1" applyBorder="1" applyAlignment="1" applyProtection="1">
      <alignment horizontal="right" vertical="center"/>
      <protection/>
    </xf>
    <xf numFmtId="166" fontId="5" fillId="34" borderId="21" xfId="0" applyNumberFormat="1" applyFont="1" applyFill="1" applyBorder="1" applyAlignment="1" applyProtection="1">
      <alignment horizontal="right" vertical="center"/>
      <protection/>
    </xf>
    <xf numFmtId="4" fontId="3" fillId="35" borderId="21" xfId="0" applyNumberFormat="1" applyFont="1" applyFill="1" applyBorder="1" applyAlignment="1" applyProtection="1">
      <alignment horizontal="right" vertical="center"/>
      <protection/>
    </xf>
    <xf numFmtId="49" fontId="50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49" fontId="3" fillId="35" borderId="21" xfId="0" applyNumberFormat="1" applyFont="1" applyFill="1" applyBorder="1" applyAlignment="1" applyProtection="1">
      <alignment horizontal="left" vertical="center" wrapText="1"/>
      <protection/>
    </xf>
    <xf numFmtId="49" fontId="3" fillId="35" borderId="21" xfId="0" applyNumberFormat="1" applyFont="1" applyFill="1" applyBorder="1" applyAlignment="1" applyProtection="1">
      <alignment horizontal="center" vertical="center"/>
      <protection/>
    </xf>
    <xf numFmtId="49" fontId="1" fillId="35" borderId="21" xfId="0" applyNumberFormat="1" applyFont="1" applyFill="1" applyBorder="1" applyAlignment="1" applyProtection="1">
      <alignment horizontal="left" vertical="center"/>
      <protection/>
    </xf>
    <xf numFmtId="49" fontId="3" fillId="35" borderId="25" xfId="0" applyNumberFormat="1" applyFont="1" applyFill="1" applyBorder="1" applyAlignment="1" applyProtection="1">
      <alignment horizontal="left" vertical="center"/>
      <protection/>
    </xf>
    <xf numFmtId="49" fontId="3" fillId="35" borderId="26" xfId="0" applyNumberFormat="1" applyFont="1" applyFill="1" applyBorder="1" applyAlignment="1" applyProtection="1">
      <alignment horizontal="left" vertical="center"/>
      <protection/>
    </xf>
    <xf numFmtId="49" fontId="3" fillId="35" borderId="26" xfId="0" applyNumberFormat="1" applyFont="1" applyFill="1" applyBorder="1" applyAlignment="1" applyProtection="1">
      <alignment horizontal="right" vertical="center"/>
      <protection/>
    </xf>
    <xf numFmtId="49" fontId="3" fillId="35" borderId="27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2" xfId="0" applyFont="1" applyBorder="1" applyAlignment="1">
      <alignment vertical="center"/>
    </xf>
    <xf numFmtId="49" fontId="5" fillId="0" borderId="28" xfId="0" applyNumberFormat="1" applyFont="1" applyFill="1" applyBorder="1" applyAlignment="1" applyProtection="1">
      <alignment horizontal="left" vertical="center"/>
      <protection/>
    </xf>
    <xf numFmtId="49" fontId="5" fillId="0" borderId="29" xfId="0" applyNumberFormat="1" applyFont="1" applyFill="1" applyBorder="1" applyAlignment="1" applyProtection="1">
      <alignment horizontal="left" vertical="center"/>
      <protection/>
    </xf>
    <xf numFmtId="49" fontId="5" fillId="34" borderId="30" xfId="0" applyNumberFormat="1" applyFont="1" applyFill="1" applyBorder="1" applyAlignment="1" applyProtection="1">
      <alignment horizontal="left" vertical="center"/>
      <protection/>
    </xf>
    <xf numFmtId="49" fontId="5" fillId="34" borderId="3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vertical="center"/>
    </xf>
    <xf numFmtId="49" fontId="5" fillId="34" borderId="32" xfId="0" applyNumberFormat="1" applyFont="1" applyFill="1" applyBorder="1" applyAlignment="1" applyProtection="1">
      <alignment horizontal="left" vertical="center"/>
      <protection/>
    </xf>
    <xf numFmtId="49" fontId="8" fillId="33" borderId="28" xfId="0" applyNumberFormat="1" applyFont="1" applyFill="1" applyBorder="1" applyAlignment="1" applyProtection="1">
      <alignment horizontal="left" vertical="center"/>
      <protection/>
    </xf>
    <xf numFmtId="49" fontId="8" fillId="33" borderId="29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5" fillId="34" borderId="28" xfId="0" applyNumberFormat="1" applyFont="1" applyFill="1" applyBorder="1" applyAlignment="1" applyProtection="1">
      <alignment horizontal="left" vertical="center"/>
      <protection/>
    </xf>
    <xf numFmtId="49" fontId="5" fillId="34" borderId="33" xfId="0" applyNumberFormat="1" applyFont="1" applyFill="1" applyBorder="1" applyAlignment="1" applyProtection="1">
      <alignment horizontal="left" vertical="center"/>
      <protection/>
    </xf>
    <xf numFmtId="49" fontId="6" fillId="34" borderId="30" xfId="0" applyNumberFormat="1" applyFont="1" applyFill="1" applyBorder="1" applyAlignment="1" applyProtection="1">
      <alignment horizontal="left" vertical="center"/>
      <protection/>
    </xf>
    <xf numFmtId="49" fontId="6" fillId="34" borderId="31" xfId="0" applyNumberFormat="1" applyFont="1" applyFill="1" applyBorder="1" applyAlignment="1" applyProtection="1">
      <alignment horizontal="left" vertical="center"/>
      <protection/>
    </xf>
    <xf numFmtId="49" fontId="6" fillId="34" borderId="32" xfId="0" applyNumberFormat="1" applyFont="1" applyFill="1" applyBorder="1" applyAlignment="1" applyProtection="1">
      <alignment horizontal="left" vertical="center"/>
      <protection/>
    </xf>
    <xf numFmtId="49" fontId="5" fillId="34" borderId="34" xfId="0" applyNumberFormat="1" applyFont="1" applyFill="1" applyBorder="1" applyAlignment="1" applyProtection="1">
      <alignment horizontal="left" vertical="center"/>
      <protection/>
    </xf>
    <xf numFmtId="49" fontId="5" fillId="34" borderId="35" xfId="0" applyNumberFormat="1" applyFont="1" applyFill="1" applyBorder="1" applyAlignment="1" applyProtection="1">
      <alignment horizontal="left" vertical="center"/>
      <protection/>
    </xf>
    <xf numFmtId="49" fontId="5" fillId="34" borderId="36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5" fillId="34" borderId="37" xfId="0" applyNumberFormat="1" applyFont="1" applyFill="1" applyBorder="1" applyAlignment="1" applyProtection="1">
      <alignment horizontal="left" vertical="center"/>
      <protection/>
    </xf>
    <xf numFmtId="49" fontId="5" fillId="34" borderId="29" xfId="0" applyNumberFormat="1" applyFont="1" applyFill="1" applyBorder="1" applyAlignment="1" applyProtection="1">
      <alignment horizontal="left" vertical="center"/>
      <protection/>
    </xf>
    <xf numFmtId="49" fontId="6" fillId="34" borderId="0" xfId="0" applyNumberFormat="1" applyFont="1" applyFill="1" applyBorder="1" applyAlignment="1" applyProtection="1">
      <alignment horizontal="left" vertical="center"/>
      <protection/>
    </xf>
    <xf numFmtId="49" fontId="6" fillId="34" borderId="34" xfId="0" applyNumberFormat="1" applyFont="1" applyFill="1" applyBorder="1" applyAlignment="1" applyProtection="1">
      <alignment horizontal="left" vertical="center"/>
      <protection/>
    </xf>
    <xf numFmtId="49" fontId="6" fillId="34" borderId="37" xfId="0" applyNumberFormat="1" applyFont="1" applyFill="1" applyBorder="1" applyAlignment="1" applyProtection="1">
      <alignment horizontal="left" vertical="center"/>
      <protection/>
    </xf>
    <xf numFmtId="49" fontId="5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9" fontId="5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8" fillId="33" borderId="38" xfId="0" applyNumberFormat="1" applyFont="1" applyFill="1" applyBorder="1" applyAlignment="1" applyProtection="1">
      <alignment horizontal="left" vertical="center"/>
      <protection/>
    </xf>
    <xf numFmtId="49" fontId="5" fillId="34" borderId="39" xfId="0" applyNumberFormat="1" applyFont="1" applyFill="1" applyBorder="1" applyAlignment="1" applyProtection="1">
      <alignment horizontal="left" vertical="center"/>
      <protection/>
    </xf>
    <xf numFmtId="49" fontId="5" fillId="34" borderId="40" xfId="0" applyNumberFormat="1" applyFont="1" applyFill="1" applyBorder="1" applyAlignment="1" applyProtection="1">
      <alignment horizontal="left" vertical="center"/>
      <protection/>
    </xf>
    <xf numFmtId="49" fontId="5" fillId="34" borderId="41" xfId="0" applyNumberFormat="1" applyFont="1" applyFill="1" applyBorder="1" applyAlignment="1" applyProtection="1">
      <alignment horizontal="left" vertical="center"/>
      <protection/>
    </xf>
    <xf numFmtId="49" fontId="5" fillId="34" borderId="38" xfId="0" applyNumberFormat="1" applyFont="1" applyFill="1" applyBorder="1" applyAlignment="1" applyProtection="1">
      <alignment horizontal="left" vertical="center"/>
      <protection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9" fontId="5" fillId="34" borderId="42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9" fontId="6" fillId="34" borderId="38" xfId="0" applyNumberFormat="1" applyFont="1" applyFill="1" applyBorder="1" applyAlignment="1" applyProtection="1">
      <alignment horizontal="left" vertical="center"/>
      <protection/>
    </xf>
    <xf numFmtId="49" fontId="6" fillId="34" borderId="39" xfId="0" applyNumberFormat="1" applyFont="1" applyFill="1" applyBorder="1" applyAlignment="1" applyProtection="1">
      <alignment horizontal="left" vertical="center"/>
      <protection/>
    </xf>
    <xf numFmtId="49" fontId="6" fillId="34" borderId="42" xfId="0" applyNumberFormat="1" applyFont="1" applyFill="1" applyBorder="1" applyAlignment="1" applyProtection="1">
      <alignment horizontal="left" vertical="center"/>
      <protection/>
    </xf>
    <xf numFmtId="49" fontId="6" fillId="34" borderId="29" xfId="0" applyNumberFormat="1" applyFont="1" applyFill="1" applyBorder="1" applyAlignment="1" applyProtection="1">
      <alignment horizontal="left" vertical="center"/>
      <protection/>
    </xf>
    <xf numFmtId="0" fontId="1" fillId="0" borderId="3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6" fillId="34" borderId="28" xfId="0" applyNumberFormat="1" applyFont="1" applyFill="1" applyBorder="1" applyAlignment="1" applyProtection="1">
      <alignment horizontal="left" vertical="center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4" fontId="9" fillId="0" borderId="38" xfId="0" applyNumberFormat="1" applyFont="1" applyFill="1" applyBorder="1" applyAlignment="1" applyProtection="1">
      <alignment horizontal="right" vertical="center"/>
      <protection/>
    </xf>
    <xf numFmtId="4" fontId="5" fillId="0" borderId="38" xfId="0" applyNumberFormat="1" applyFont="1" applyFill="1" applyBorder="1" applyAlignment="1" applyProtection="1">
      <alignment horizontal="right" vertical="center"/>
      <protection/>
    </xf>
    <xf numFmtId="4" fontId="9" fillId="0" borderId="19" xfId="0" applyNumberFormat="1" applyFont="1" applyFill="1" applyBorder="1" applyAlignment="1" applyProtection="1">
      <alignment horizontal="right" vertical="center"/>
      <protection/>
    </xf>
    <xf numFmtId="49" fontId="8" fillId="33" borderId="38" xfId="0" applyNumberFormat="1" applyFont="1" applyFill="1" applyBorder="1" applyAlignment="1" applyProtection="1">
      <alignment horizontal="right" vertical="center"/>
      <protection/>
    </xf>
    <xf numFmtId="4" fontId="5" fillId="34" borderId="39" xfId="0" applyNumberFormat="1" applyFont="1" applyFill="1" applyBorder="1" applyAlignment="1" applyProtection="1">
      <alignment horizontal="right" vertical="center"/>
      <protection/>
    </xf>
    <xf numFmtId="4" fontId="9" fillId="34" borderId="40" xfId="0" applyNumberFormat="1" applyFont="1" applyFill="1" applyBorder="1" applyAlignment="1" applyProtection="1">
      <alignment horizontal="right" vertical="center"/>
      <protection/>
    </xf>
    <xf numFmtId="4" fontId="9" fillId="34" borderId="41" xfId="0" applyNumberFormat="1" applyFont="1" applyFill="1" applyBorder="1" applyAlignment="1" applyProtection="1">
      <alignment horizontal="right" vertical="center"/>
      <protection/>
    </xf>
    <xf numFmtId="4" fontId="5" fillId="34" borderId="38" xfId="0" applyNumberFormat="1" applyFont="1" applyFill="1" applyBorder="1" applyAlignment="1" applyProtection="1">
      <alignment horizontal="right" vertical="center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4" fontId="10" fillId="0" borderId="19" xfId="0" applyNumberFormat="1" applyFont="1" applyFill="1" applyBorder="1" applyAlignment="1" applyProtection="1">
      <alignment horizontal="right" vertical="center"/>
      <protection/>
    </xf>
    <xf numFmtId="4" fontId="5" fillId="34" borderId="42" xfId="0" applyNumberFormat="1" applyFont="1" applyFill="1" applyBorder="1" applyAlignment="1" applyProtection="1">
      <alignment horizontal="right" vertical="center"/>
      <protection/>
    </xf>
    <xf numFmtId="4" fontId="6" fillId="34" borderId="38" xfId="0" applyNumberFormat="1" applyFont="1" applyFill="1" applyBorder="1" applyAlignment="1" applyProtection="1">
      <alignment horizontal="right" vertical="center"/>
      <protection/>
    </xf>
    <xf numFmtId="4" fontId="6" fillId="34" borderId="39" xfId="0" applyNumberFormat="1" applyFont="1" applyFill="1" applyBorder="1" applyAlignment="1" applyProtection="1">
      <alignment horizontal="right" vertical="center"/>
      <protection/>
    </xf>
    <xf numFmtId="4" fontId="6" fillId="34" borderId="42" xfId="0" applyNumberFormat="1" applyFont="1" applyFill="1" applyBorder="1" applyAlignment="1" applyProtection="1">
      <alignment horizontal="right" vertical="center"/>
      <protection/>
    </xf>
    <xf numFmtId="4" fontId="10" fillId="0" borderId="38" xfId="0" applyNumberFormat="1" applyFont="1" applyFill="1" applyBorder="1" applyAlignment="1" applyProtection="1">
      <alignment horizontal="right" vertical="center"/>
      <protection/>
    </xf>
    <xf numFmtId="49" fontId="5" fillId="0" borderId="38" xfId="0" applyNumberFormat="1" applyFont="1" applyFill="1" applyBorder="1" applyAlignment="1" applyProtection="1">
      <alignment horizontal="right" vertical="center"/>
      <protection/>
    </xf>
    <xf numFmtId="49" fontId="5" fillId="34" borderId="40" xfId="0" applyNumberFormat="1" applyFont="1" applyFill="1" applyBorder="1" applyAlignment="1" applyProtection="1">
      <alignment horizontal="right" vertical="center"/>
      <protection/>
    </xf>
    <xf numFmtId="49" fontId="5" fillId="34" borderId="41" xfId="0" applyNumberFormat="1" applyFont="1" applyFill="1" applyBorder="1" applyAlignment="1" applyProtection="1">
      <alignment horizontal="right" vertical="center"/>
      <protection/>
    </xf>
    <xf numFmtId="49" fontId="5" fillId="0" borderId="19" xfId="0" applyNumberFormat="1" applyFont="1" applyFill="1" applyBorder="1" applyAlignment="1" applyProtection="1">
      <alignment horizontal="right" vertical="center"/>
      <protection/>
    </xf>
    <xf numFmtId="166" fontId="6" fillId="0" borderId="18" xfId="0" applyNumberFormat="1" applyFont="1" applyFill="1" applyBorder="1" applyAlignment="1" applyProtection="1">
      <alignment horizontal="right" vertical="center"/>
      <protection/>
    </xf>
    <xf numFmtId="166" fontId="10" fillId="0" borderId="19" xfId="0" applyNumberFormat="1" applyFont="1" applyFill="1" applyBorder="1" applyAlignment="1" applyProtection="1">
      <alignment horizontal="right" vertical="center"/>
      <protection/>
    </xf>
    <xf numFmtId="166" fontId="5" fillId="0" borderId="38" xfId="0" applyNumberFormat="1" applyFont="1" applyFill="1" applyBorder="1" applyAlignment="1" applyProtection="1">
      <alignment horizontal="right" vertical="center"/>
      <protection/>
    </xf>
    <xf numFmtId="166" fontId="9" fillId="0" borderId="38" xfId="0" applyNumberFormat="1" applyFont="1" applyFill="1" applyBorder="1" applyAlignment="1" applyProtection="1">
      <alignment horizontal="right" vertical="center"/>
      <protection/>
    </xf>
    <xf numFmtId="166" fontId="5" fillId="0" borderId="18" xfId="0" applyNumberFormat="1" applyFont="1" applyFill="1" applyBorder="1" applyAlignment="1" applyProtection="1">
      <alignment horizontal="right" vertical="center"/>
      <protection/>
    </xf>
    <xf numFmtId="166" fontId="9" fillId="0" borderId="19" xfId="0" applyNumberFormat="1" applyFont="1" applyFill="1" applyBorder="1" applyAlignment="1" applyProtection="1">
      <alignment horizontal="right" vertical="center"/>
      <protection/>
    </xf>
    <xf numFmtId="166" fontId="5" fillId="34" borderId="42" xfId="0" applyNumberFormat="1" applyFont="1" applyFill="1" applyBorder="1" applyAlignment="1" applyProtection="1">
      <alignment horizontal="right" vertical="center"/>
      <protection/>
    </xf>
    <xf numFmtId="166" fontId="9" fillId="34" borderId="40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" fillId="35" borderId="21" xfId="0" applyNumberFormat="1" applyFont="1" applyFill="1" applyBorder="1" applyAlignment="1" applyProtection="1">
      <alignment vertical="center"/>
      <protection/>
    </xf>
    <xf numFmtId="49" fontId="12" fillId="36" borderId="21" xfId="0" applyNumberFormat="1" applyFont="1" applyFill="1" applyBorder="1" applyAlignment="1" applyProtection="1">
      <alignment horizontal="center" vertical="center"/>
      <protection/>
    </xf>
    <xf numFmtId="4" fontId="13" fillId="36" borderId="43" xfId="0" applyNumberFormat="1" applyFont="1" applyFill="1" applyBorder="1" applyAlignment="1" applyProtection="1">
      <alignment horizontal="right" vertical="center"/>
      <protection/>
    </xf>
    <xf numFmtId="49" fontId="3" fillId="35" borderId="21" xfId="0" applyNumberFormat="1" applyFont="1" applyFill="1" applyBorder="1" applyAlignment="1" applyProtection="1">
      <alignment horizontal="center" vertical="center"/>
      <protection/>
    </xf>
    <xf numFmtId="49" fontId="3" fillId="35" borderId="21" xfId="0" applyNumberFormat="1" applyFont="1" applyFill="1" applyBorder="1" applyAlignment="1" applyProtection="1">
      <alignment horizontal="left" vertical="center"/>
      <protection/>
    </xf>
    <xf numFmtId="49" fontId="2" fillId="35" borderId="21" xfId="0" applyNumberFormat="1" applyFont="1" applyFill="1" applyBorder="1" applyAlignment="1" applyProtection="1">
      <alignment horizontal="center"/>
      <protection/>
    </xf>
    <xf numFmtId="0" fontId="2" fillId="35" borderId="21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3" fillId="35" borderId="21" xfId="0" applyNumberFormat="1" applyFont="1" applyFill="1" applyBorder="1" applyAlignment="1" applyProtection="1">
      <alignment horizontal="center" vertical="center"/>
      <protection/>
    </xf>
    <xf numFmtId="0" fontId="3" fillId="35" borderId="21" xfId="0" applyNumberFormat="1" applyFont="1" applyFill="1" applyBorder="1" applyAlignment="1" applyProtection="1">
      <alignment horizontal="center" vertical="center"/>
      <protection/>
    </xf>
    <xf numFmtId="49" fontId="3" fillId="35" borderId="21" xfId="0" applyNumberFormat="1" applyFont="1" applyFill="1" applyBorder="1" applyAlignment="1" applyProtection="1">
      <alignment horizontal="left" vertical="center"/>
      <protection/>
    </xf>
    <xf numFmtId="0" fontId="3" fillId="35" borderId="21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 wrapText="1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49" fontId="2" fillId="35" borderId="12" xfId="0" applyNumberFormat="1" applyFont="1" applyFill="1" applyBorder="1" applyAlignment="1" applyProtection="1">
      <alignment horizontal="center"/>
      <protection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49" fontId="3" fillId="35" borderId="48" xfId="0" applyNumberFormat="1" applyFont="1" applyFill="1" applyBorder="1" applyAlignment="1" applyProtection="1">
      <alignment horizontal="left" vertical="center"/>
      <protection/>
    </xf>
    <xf numFmtId="0" fontId="3" fillId="35" borderId="49" xfId="0" applyNumberFormat="1" applyFont="1" applyFill="1" applyBorder="1" applyAlignment="1" applyProtection="1">
      <alignment horizontal="left" vertical="center"/>
      <protection/>
    </xf>
    <xf numFmtId="49" fontId="8" fillId="33" borderId="11" xfId="0" applyNumberFormat="1" applyFont="1" applyFill="1" applyBorder="1" applyAlignment="1" applyProtection="1">
      <alignment horizontal="left" vertical="center"/>
      <protection/>
    </xf>
    <xf numFmtId="0" fontId="8" fillId="33" borderId="11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43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29" xfId="0" applyNumberFormat="1" applyFont="1" applyFill="1" applyBorder="1" applyAlignment="1" applyProtection="1">
      <alignment horizontal="left" vertical="center"/>
      <protection/>
    </xf>
    <xf numFmtId="0" fontId="5" fillId="0" borderId="29" xfId="0" applyNumberFormat="1" applyFont="1" applyFill="1" applyBorder="1" applyAlignment="1" applyProtection="1">
      <alignment horizontal="left" vertical="center"/>
      <protection/>
    </xf>
    <xf numFmtId="49" fontId="5" fillId="34" borderId="34" xfId="0" applyNumberFormat="1" applyFont="1" applyFill="1" applyBorder="1" applyAlignment="1" applyProtection="1">
      <alignment horizontal="left"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49" fontId="9" fillId="34" borderId="35" xfId="0" applyNumberFormat="1" applyFont="1" applyFill="1" applyBorder="1" applyAlignment="1" applyProtection="1">
      <alignment horizontal="left" vertical="center"/>
      <protection/>
    </xf>
    <xf numFmtId="0" fontId="9" fillId="0" borderId="50" xfId="0" applyNumberFormat="1" applyFont="1" applyFill="1" applyBorder="1" applyAlignment="1" applyProtection="1">
      <alignment horizontal="left" vertical="center"/>
      <protection/>
    </xf>
    <xf numFmtId="49" fontId="9" fillId="0" borderId="50" xfId="0" applyNumberFormat="1" applyFont="1" applyFill="1" applyBorder="1" applyAlignment="1" applyProtection="1">
      <alignment horizontal="left" vertical="center"/>
      <protection/>
    </xf>
    <xf numFmtId="49" fontId="9" fillId="34" borderId="36" xfId="0" applyNumberFormat="1" applyFont="1" applyFill="1" applyBorder="1" applyAlignment="1" applyProtection="1">
      <alignment horizontal="left" vertical="center"/>
      <protection/>
    </xf>
    <xf numFmtId="0" fontId="9" fillId="0" borderId="51" xfId="0" applyNumberFormat="1" applyFont="1" applyFill="1" applyBorder="1" applyAlignment="1" applyProtection="1">
      <alignment horizontal="left" vertical="center"/>
      <protection/>
    </xf>
    <xf numFmtId="49" fontId="9" fillId="0" borderId="51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0" fontId="5" fillId="0" borderId="30" xfId="0" applyNumberFormat="1" applyFont="1" applyFill="1" applyBorder="1" applyAlignment="1" applyProtection="1">
      <alignment horizontal="left" vertical="center"/>
      <protection/>
    </xf>
    <xf numFmtId="49" fontId="8" fillId="33" borderId="29" xfId="0" applyNumberFormat="1" applyFont="1" applyFill="1" applyBorder="1" applyAlignment="1" applyProtection="1">
      <alignment horizontal="left" vertical="center"/>
      <protection/>
    </xf>
    <xf numFmtId="0" fontId="8" fillId="33" borderId="29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49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49" fontId="5" fillId="34" borderId="37" xfId="0" applyNumberFormat="1" applyFont="1" applyFill="1" applyBorder="1" applyAlignment="1" applyProtection="1">
      <alignment horizontal="left" vertical="center"/>
      <protection/>
    </xf>
    <xf numFmtId="0" fontId="5" fillId="0" borderId="32" xfId="0" applyNumberFormat="1" applyFont="1" applyFill="1" applyBorder="1" applyAlignment="1" applyProtection="1">
      <alignment horizontal="left" vertical="center"/>
      <protection/>
    </xf>
    <xf numFmtId="49" fontId="5" fillId="34" borderId="29" xfId="0" applyNumberFormat="1" applyFont="1" applyFill="1" applyBorder="1" applyAlignment="1" applyProtection="1">
      <alignment horizontal="left" vertical="center"/>
      <protection/>
    </xf>
    <xf numFmtId="0" fontId="5" fillId="0" borderId="33" xfId="0" applyNumberFormat="1" applyFont="1" applyFill="1" applyBorder="1" applyAlignment="1" applyProtection="1">
      <alignment horizontal="left" vertical="center"/>
      <protection/>
    </xf>
    <xf numFmtId="49" fontId="8" fillId="33" borderId="43" xfId="0" applyNumberFormat="1" applyFont="1" applyFill="1" applyBorder="1" applyAlignment="1" applyProtection="1">
      <alignment horizontal="left" vertical="center"/>
      <protection/>
    </xf>
    <xf numFmtId="0" fontId="8" fillId="33" borderId="21" xfId="0" applyNumberFormat="1" applyFont="1" applyFill="1" applyBorder="1" applyAlignment="1" applyProtection="1">
      <alignment horizontal="left" vertical="center"/>
      <protection/>
    </xf>
    <xf numFmtId="49" fontId="6" fillId="34" borderId="0" xfId="0" applyNumberFormat="1" applyFont="1" applyFill="1" applyBorder="1" applyAlignment="1" applyProtection="1">
      <alignment horizontal="left" vertical="center"/>
      <protection/>
    </xf>
    <xf numFmtId="0" fontId="6" fillId="0" borderId="30" xfId="0" applyNumberFormat="1" applyFont="1" applyFill="1" applyBorder="1" applyAlignment="1" applyProtection="1">
      <alignment horizontal="left" vertical="center"/>
      <protection/>
    </xf>
    <xf numFmtId="49" fontId="6" fillId="34" borderId="34" xfId="0" applyNumberFormat="1" applyFont="1" applyFill="1" applyBorder="1" applyAlignment="1" applyProtection="1">
      <alignment horizontal="left" vertical="center"/>
      <protection/>
    </xf>
    <xf numFmtId="0" fontId="6" fillId="0" borderId="31" xfId="0" applyNumberFormat="1" applyFont="1" applyFill="1" applyBorder="1" applyAlignment="1" applyProtection="1">
      <alignment horizontal="left" vertical="center"/>
      <protection/>
    </xf>
    <xf numFmtId="49" fontId="6" fillId="34" borderId="43" xfId="0" applyNumberFormat="1" applyFont="1" applyFill="1" applyBorder="1" applyAlignment="1" applyProtection="1">
      <alignment horizontal="left" vertical="center"/>
      <protection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49" fontId="6" fillId="34" borderId="37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9" fontId="5" fillId="34" borderId="43" xfId="0" applyNumberFormat="1" applyFont="1" applyFill="1" applyBorder="1" applyAlignment="1" applyProtection="1">
      <alignment horizontal="left" vertical="center"/>
      <protection/>
    </xf>
    <xf numFmtId="0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49" fontId="11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49" fontId="15" fillId="0" borderId="28" xfId="0" applyNumberFormat="1" applyFont="1" applyFill="1" applyBorder="1" applyAlignment="1" applyProtection="1">
      <alignment horizontal="left" vertical="center"/>
      <protection/>
    </xf>
    <xf numFmtId="0" fontId="15" fillId="0" borderId="43" xfId="0" applyNumberFormat="1" applyFont="1" applyFill="1" applyBorder="1" applyAlignment="1" applyProtection="1">
      <alignment horizontal="left" vertical="center"/>
      <protection/>
    </xf>
    <xf numFmtId="49" fontId="14" fillId="0" borderId="28" xfId="0" applyNumberFormat="1" applyFont="1" applyFill="1" applyBorder="1" applyAlignment="1" applyProtection="1">
      <alignment horizontal="left" vertical="center"/>
      <protection/>
    </xf>
    <xf numFmtId="0" fontId="14" fillId="0" borderId="43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43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49" fontId="13" fillId="36" borderId="28" xfId="0" applyNumberFormat="1" applyFont="1" applyFill="1" applyBorder="1" applyAlignment="1" applyProtection="1">
      <alignment horizontal="left" vertical="center"/>
      <protection/>
    </xf>
    <xf numFmtId="0" fontId="13" fillId="36" borderId="29" xfId="0" applyNumberFormat="1" applyFont="1" applyFill="1" applyBorder="1" applyAlignment="1" applyProtection="1">
      <alignment horizontal="left" vertical="center"/>
      <protection/>
    </xf>
    <xf numFmtId="49" fontId="14" fillId="0" borderId="52" xfId="0" applyNumberFormat="1" applyFont="1" applyFill="1" applyBorder="1" applyAlignment="1" applyProtection="1">
      <alignment horizontal="left" vertical="center"/>
      <protection/>
    </xf>
    <xf numFmtId="0" fontId="14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53" xfId="0" applyNumberFormat="1" applyFont="1" applyFill="1" applyBorder="1" applyAlignment="1" applyProtection="1">
      <alignment horizontal="left" vertical="center"/>
      <protection/>
    </xf>
    <xf numFmtId="49" fontId="14" fillId="0" borderId="1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54" xfId="0" applyNumberFormat="1" applyFont="1" applyFill="1" applyBorder="1" applyAlignment="1" applyProtection="1">
      <alignment horizontal="left" vertical="center"/>
      <protection/>
    </xf>
    <xf numFmtId="49" fontId="14" fillId="0" borderId="55" xfId="0" applyNumberFormat="1" applyFont="1" applyFill="1" applyBorder="1" applyAlignment="1" applyProtection="1">
      <alignment horizontal="left" vertical="center"/>
      <protection/>
    </xf>
    <xf numFmtId="0" fontId="14" fillId="0" borderId="46" xfId="0" applyNumberFormat="1" applyFont="1" applyFill="1" applyBorder="1" applyAlignment="1" applyProtection="1">
      <alignment horizontal="left" vertical="center"/>
      <protection/>
    </xf>
    <xf numFmtId="0" fontId="14" fillId="0" borderId="56" xfId="0" applyNumberFormat="1" applyFont="1" applyFill="1" applyBorder="1" applyAlignment="1" applyProtection="1">
      <alignment horizontal="left" vertical="center"/>
      <protection/>
    </xf>
    <xf numFmtId="4" fontId="5" fillId="2" borderId="21" xfId="0" applyNumberFormat="1" applyFont="1" applyFill="1" applyBorder="1" applyAlignment="1" applyProtection="1">
      <alignment horizontal="right" vertical="center"/>
      <protection locked="0"/>
    </xf>
    <xf numFmtId="49" fontId="4" fillId="33" borderId="21" xfId="0" applyNumberFormat="1" applyFont="1" applyFill="1" applyBorder="1" applyAlignment="1" applyProtection="1">
      <alignment horizontal="left" vertical="center"/>
      <protection locked="0"/>
    </xf>
    <xf numFmtId="4" fontId="6" fillId="2" borderId="21" xfId="0" applyNumberFormat="1" applyFont="1" applyFill="1" applyBorder="1" applyAlignment="1" applyProtection="1">
      <alignment horizontal="right" vertical="center"/>
      <protection locked="0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0000"/>
      <rgbColor rgb="00000000"/>
      <rgbColor rgb="00C0C0C0"/>
      <rgbColor rgb="00C0C0C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9525</xdr:rowOff>
    </xdr:from>
    <xdr:to>
      <xdr:col>2</xdr:col>
      <xdr:colOff>723900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"/>
          <a:ext cx="933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13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G20" sqref="G20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123.7109375" style="58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151" t="s">
        <v>584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4" ht="12.75">
      <c r="A2" s="153" t="s">
        <v>0</v>
      </c>
      <c r="B2" s="154"/>
      <c r="C2" s="154"/>
      <c r="D2" s="155" t="s">
        <v>167</v>
      </c>
      <c r="E2" s="156" t="s">
        <v>271</v>
      </c>
      <c r="F2" s="154"/>
      <c r="G2" s="156" t="s">
        <v>5</v>
      </c>
      <c r="H2" s="153" t="s">
        <v>287</v>
      </c>
      <c r="I2" s="153" t="s">
        <v>294</v>
      </c>
      <c r="J2" s="154"/>
      <c r="K2" s="154"/>
      <c r="L2" s="154"/>
      <c r="M2" s="154"/>
      <c r="N2" s="35"/>
    </row>
    <row r="3" spans="1:14" ht="12.75">
      <c r="A3" s="154"/>
      <c r="B3" s="154"/>
      <c r="C3" s="154"/>
      <c r="D3" s="155"/>
      <c r="E3" s="154"/>
      <c r="F3" s="154"/>
      <c r="G3" s="154"/>
      <c r="H3" s="154"/>
      <c r="I3" s="154"/>
      <c r="J3" s="154"/>
      <c r="K3" s="154"/>
      <c r="L3" s="154"/>
      <c r="M3" s="154"/>
      <c r="N3" s="35"/>
    </row>
    <row r="4" spans="1:14" ht="12.75">
      <c r="A4" s="153" t="s">
        <v>1</v>
      </c>
      <c r="B4" s="154"/>
      <c r="C4" s="154"/>
      <c r="D4" s="153" t="s">
        <v>168</v>
      </c>
      <c r="E4" s="156" t="s">
        <v>272</v>
      </c>
      <c r="F4" s="154"/>
      <c r="G4" s="156" t="s">
        <v>5</v>
      </c>
      <c r="H4" s="153" t="s">
        <v>288</v>
      </c>
      <c r="I4" s="153" t="s">
        <v>295</v>
      </c>
      <c r="J4" s="154"/>
      <c r="K4" s="154"/>
      <c r="L4" s="154"/>
      <c r="M4" s="154"/>
      <c r="N4" s="35"/>
    </row>
    <row r="5" spans="1:14" ht="12.75">
      <c r="A5" s="154"/>
      <c r="B5" s="154"/>
      <c r="C5" s="154"/>
      <c r="D5" s="153"/>
      <c r="E5" s="154"/>
      <c r="F5" s="154"/>
      <c r="G5" s="154"/>
      <c r="H5" s="154"/>
      <c r="I5" s="154"/>
      <c r="J5" s="154"/>
      <c r="K5" s="154"/>
      <c r="L5" s="154"/>
      <c r="M5" s="154"/>
      <c r="N5" s="35"/>
    </row>
    <row r="6" spans="1:14" ht="12.75">
      <c r="A6" s="153" t="s">
        <v>2</v>
      </c>
      <c r="B6" s="154"/>
      <c r="C6" s="154"/>
      <c r="D6" s="153" t="s">
        <v>169</v>
      </c>
      <c r="E6" s="156" t="s">
        <v>273</v>
      </c>
      <c r="F6" s="154"/>
      <c r="G6" s="156" t="s">
        <v>5</v>
      </c>
      <c r="H6" s="153" t="s">
        <v>289</v>
      </c>
      <c r="I6" s="256" t="s">
        <v>296</v>
      </c>
      <c r="J6" s="257"/>
      <c r="K6" s="257"/>
      <c r="L6" s="257"/>
      <c r="M6" s="257"/>
      <c r="N6" s="35"/>
    </row>
    <row r="7" spans="1:14" ht="12.75">
      <c r="A7" s="154"/>
      <c r="B7" s="154"/>
      <c r="C7" s="154"/>
      <c r="D7" s="153"/>
      <c r="E7" s="154"/>
      <c r="F7" s="154"/>
      <c r="G7" s="154"/>
      <c r="H7" s="154"/>
      <c r="I7" s="257"/>
      <c r="J7" s="257"/>
      <c r="K7" s="257"/>
      <c r="L7" s="257"/>
      <c r="M7" s="257"/>
      <c r="N7" s="35"/>
    </row>
    <row r="8" spans="1:14" ht="12.75">
      <c r="A8" s="153" t="s">
        <v>3</v>
      </c>
      <c r="B8" s="154"/>
      <c r="C8" s="154"/>
      <c r="D8" s="153">
        <v>8152279</v>
      </c>
      <c r="E8" s="156" t="s">
        <v>274</v>
      </c>
      <c r="F8" s="154"/>
      <c r="G8" s="156" t="s">
        <v>284</v>
      </c>
      <c r="H8" s="153" t="s">
        <v>290</v>
      </c>
      <c r="I8" s="256" t="s">
        <v>296</v>
      </c>
      <c r="J8" s="257"/>
      <c r="K8" s="257"/>
      <c r="L8" s="257"/>
      <c r="M8" s="257"/>
      <c r="N8" s="35"/>
    </row>
    <row r="9" spans="1:14" ht="12.75">
      <c r="A9" s="154"/>
      <c r="B9" s="154"/>
      <c r="C9" s="154"/>
      <c r="D9" s="153"/>
      <c r="E9" s="154"/>
      <c r="F9" s="154"/>
      <c r="G9" s="154"/>
      <c r="H9" s="154"/>
      <c r="I9" s="257"/>
      <c r="J9" s="257"/>
      <c r="K9" s="257"/>
      <c r="L9" s="257"/>
      <c r="M9" s="257"/>
      <c r="N9" s="35"/>
    </row>
    <row r="10" spans="1:64" ht="12.75">
      <c r="A10" s="150" t="s">
        <v>4</v>
      </c>
      <c r="B10" s="150" t="s">
        <v>88</v>
      </c>
      <c r="C10" s="150" t="s">
        <v>89</v>
      </c>
      <c r="D10" s="66" t="s">
        <v>170</v>
      </c>
      <c r="E10" s="150" t="s">
        <v>275</v>
      </c>
      <c r="F10" s="149" t="s">
        <v>283</v>
      </c>
      <c r="G10" s="149" t="s">
        <v>285</v>
      </c>
      <c r="H10" s="157" t="s">
        <v>291</v>
      </c>
      <c r="I10" s="158"/>
      <c r="J10" s="158"/>
      <c r="K10" s="157" t="s">
        <v>299</v>
      </c>
      <c r="L10" s="158"/>
      <c r="M10" s="67" t="s">
        <v>581</v>
      </c>
      <c r="N10" s="35"/>
      <c r="BK10" s="10" t="s">
        <v>341</v>
      </c>
      <c r="BL10" s="18" t="s">
        <v>344</v>
      </c>
    </row>
    <row r="11" spans="1:62" ht="12.75">
      <c r="A11" s="68" t="s">
        <v>5</v>
      </c>
      <c r="B11" s="68" t="s">
        <v>5</v>
      </c>
      <c r="C11" s="68" t="s">
        <v>5</v>
      </c>
      <c r="D11" s="66" t="s">
        <v>171</v>
      </c>
      <c r="E11" s="68" t="s">
        <v>5</v>
      </c>
      <c r="F11" s="68" t="s">
        <v>5</v>
      </c>
      <c r="G11" s="149" t="s">
        <v>286</v>
      </c>
      <c r="H11" s="149" t="s">
        <v>292</v>
      </c>
      <c r="I11" s="149" t="s">
        <v>297</v>
      </c>
      <c r="J11" s="149" t="s">
        <v>298</v>
      </c>
      <c r="K11" s="149" t="s">
        <v>300</v>
      </c>
      <c r="L11" s="149" t="s">
        <v>298</v>
      </c>
      <c r="M11" s="149"/>
      <c r="N11" s="35"/>
      <c r="Z11" s="10" t="s">
        <v>301</v>
      </c>
      <c r="AA11" s="10" t="s">
        <v>302</v>
      </c>
      <c r="AB11" s="10" t="s">
        <v>303</v>
      </c>
      <c r="AC11" s="10" t="s">
        <v>304</v>
      </c>
      <c r="AD11" s="10" t="s">
        <v>305</v>
      </c>
      <c r="AE11" s="10" t="s">
        <v>306</v>
      </c>
      <c r="AF11" s="10" t="s">
        <v>307</v>
      </c>
      <c r="AG11" s="10" t="s">
        <v>308</v>
      </c>
      <c r="AH11" s="10" t="s">
        <v>309</v>
      </c>
      <c r="BH11" s="10" t="s">
        <v>338</v>
      </c>
      <c r="BI11" s="10" t="s">
        <v>339</v>
      </c>
      <c r="BJ11" s="10" t="s">
        <v>340</v>
      </c>
    </row>
    <row r="12" spans="1:47" ht="12.75">
      <c r="A12" s="36"/>
      <c r="B12" s="37"/>
      <c r="C12" s="37" t="s">
        <v>18</v>
      </c>
      <c r="D12" s="52" t="s">
        <v>172</v>
      </c>
      <c r="E12" s="36" t="s">
        <v>5</v>
      </c>
      <c r="F12" s="36" t="s">
        <v>5</v>
      </c>
      <c r="G12" s="36" t="s">
        <v>5</v>
      </c>
      <c r="H12" s="38">
        <f>SUM(H13:H18)</f>
        <v>0</v>
      </c>
      <c r="I12" s="38">
        <f>SUM(I13:I18)</f>
        <v>0</v>
      </c>
      <c r="J12" s="38">
        <f>SUM(J13:J18)</f>
        <v>0</v>
      </c>
      <c r="K12" s="39"/>
      <c r="L12" s="38">
        <f>SUM(L13:L18)</f>
        <v>0</v>
      </c>
      <c r="M12" s="39"/>
      <c r="N12" s="35"/>
      <c r="AI12" s="10"/>
      <c r="AS12" s="19">
        <f>SUM(AJ13:AJ18)</f>
        <v>0</v>
      </c>
      <c r="AT12" s="19">
        <f>SUM(AK13:AK18)</f>
        <v>0</v>
      </c>
      <c r="AU12" s="19">
        <f>SUM(AL13:AL18)</f>
        <v>0</v>
      </c>
    </row>
    <row r="13" spans="1:64" ht="12.75">
      <c r="A13" s="40" t="s">
        <v>6</v>
      </c>
      <c r="B13" s="40"/>
      <c r="C13" s="40" t="s">
        <v>90</v>
      </c>
      <c r="D13" s="53" t="s">
        <v>173</v>
      </c>
      <c r="E13" s="40" t="s">
        <v>276</v>
      </c>
      <c r="F13" s="41">
        <v>44.75455</v>
      </c>
      <c r="G13" s="253"/>
      <c r="H13" s="41">
        <f aca="true" t="shared" si="0" ref="H13:H18">F13*AO13</f>
        <v>0</v>
      </c>
      <c r="I13" s="41">
        <f aca="true" t="shared" si="1" ref="I13:I18">F13*AP13</f>
        <v>0</v>
      </c>
      <c r="J13" s="41">
        <f aca="true" t="shared" si="2" ref="J13:J18">F13*G13</f>
        <v>0</v>
      </c>
      <c r="K13" s="41">
        <v>0</v>
      </c>
      <c r="L13" s="41">
        <f aca="true" t="shared" si="3" ref="L13:L18">F13*K13</f>
        <v>0</v>
      </c>
      <c r="M13" s="42"/>
      <c r="N13" s="35"/>
      <c r="Z13" s="14">
        <f aca="true" t="shared" si="4" ref="Z13:Z18">IF(AQ13="5",BJ13,0)</f>
        <v>0</v>
      </c>
      <c r="AB13" s="14">
        <f aca="true" t="shared" si="5" ref="AB13:AB18">IF(AQ13="1",BH13,0)</f>
        <v>0</v>
      </c>
      <c r="AC13" s="14">
        <f aca="true" t="shared" si="6" ref="AC13:AC18">IF(AQ13="1",BI13,0)</f>
        <v>0</v>
      </c>
      <c r="AD13" s="14">
        <f aca="true" t="shared" si="7" ref="AD13:AD18">IF(AQ13="7",BH13,0)</f>
        <v>0</v>
      </c>
      <c r="AE13" s="14">
        <f aca="true" t="shared" si="8" ref="AE13:AE18">IF(AQ13="7",BI13,0)</f>
        <v>0</v>
      </c>
      <c r="AF13" s="14">
        <f aca="true" t="shared" si="9" ref="AF13:AF18">IF(AQ13="2",BH13,0)</f>
        <v>0</v>
      </c>
      <c r="AG13" s="14">
        <f aca="true" t="shared" si="10" ref="AG13:AG18">IF(AQ13="2",BI13,0)</f>
        <v>0</v>
      </c>
      <c r="AH13" s="14">
        <f aca="true" t="shared" si="11" ref="AH13:AH18">IF(AQ13="0",BJ13,0)</f>
        <v>0</v>
      </c>
      <c r="AI13" s="10"/>
      <c r="AJ13" s="7">
        <f aca="true" t="shared" si="12" ref="AJ13:AJ18">IF(AN13=0,J13,0)</f>
        <v>0</v>
      </c>
      <c r="AK13" s="7">
        <f aca="true" t="shared" si="13" ref="AK13:AK18">IF(AN13=15,J13,0)</f>
        <v>0</v>
      </c>
      <c r="AL13" s="7">
        <f aca="true" t="shared" si="14" ref="AL13:AL18">IF(AN13=21,J13,0)</f>
        <v>0</v>
      </c>
      <c r="AN13" s="14">
        <v>21</v>
      </c>
      <c r="AO13" s="14">
        <f aca="true" t="shared" si="15" ref="AO13:AO18">G13*0</f>
        <v>0</v>
      </c>
      <c r="AP13" s="14">
        <f aca="true" t="shared" si="16" ref="AP13:AP18">G13*(1-0)</f>
        <v>0</v>
      </c>
      <c r="AQ13" s="15" t="s">
        <v>6</v>
      </c>
      <c r="AV13" s="14">
        <f aca="true" t="shared" si="17" ref="AV13:AV18">AW13+AX13</f>
        <v>0</v>
      </c>
      <c r="AW13" s="14">
        <f aca="true" t="shared" si="18" ref="AW13:AW18">F13*AO13</f>
        <v>0</v>
      </c>
      <c r="AX13" s="14">
        <f aca="true" t="shared" si="19" ref="AX13:AX18">F13*AP13</f>
        <v>0</v>
      </c>
      <c r="AY13" s="17" t="s">
        <v>310</v>
      </c>
      <c r="AZ13" s="17" t="s">
        <v>328</v>
      </c>
      <c r="BA13" s="10" t="s">
        <v>337</v>
      </c>
      <c r="BC13" s="14">
        <f aca="true" t="shared" si="20" ref="BC13:BC18">AW13+AX13</f>
        <v>0</v>
      </c>
      <c r="BD13" s="14">
        <f aca="true" t="shared" si="21" ref="BD13:BD18">G13/(100-BE13)*100</f>
        <v>0</v>
      </c>
      <c r="BE13" s="14">
        <v>0</v>
      </c>
      <c r="BF13" s="14">
        <f aca="true" t="shared" si="22" ref="BF13:BF18">L13</f>
        <v>0</v>
      </c>
      <c r="BH13" s="7">
        <f aca="true" t="shared" si="23" ref="BH13:BH18">F13*AO13</f>
        <v>0</v>
      </c>
      <c r="BI13" s="7">
        <f aca="true" t="shared" si="24" ref="BI13:BI18">F13*AP13</f>
        <v>0</v>
      </c>
      <c r="BJ13" s="7">
        <f aca="true" t="shared" si="25" ref="BJ13:BJ18">F13*G13</f>
        <v>0</v>
      </c>
      <c r="BK13" s="7" t="s">
        <v>342</v>
      </c>
      <c r="BL13" s="14">
        <v>13</v>
      </c>
    </row>
    <row r="14" spans="1:64" ht="12.75">
      <c r="A14" s="40" t="s">
        <v>7</v>
      </c>
      <c r="B14" s="40"/>
      <c r="C14" s="40" t="s">
        <v>91</v>
      </c>
      <c r="D14" s="53" t="s">
        <v>174</v>
      </c>
      <c r="E14" s="40" t="s">
        <v>276</v>
      </c>
      <c r="F14" s="41">
        <v>44.90262</v>
      </c>
      <c r="G14" s="253"/>
      <c r="H14" s="41">
        <f t="shared" si="0"/>
        <v>0</v>
      </c>
      <c r="I14" s="41">
        <f t="shared" si="1"/>
        <v>0</v>
      </c>
      <c r="J14" s="41">
        <f t="shared" si="2"/>
        <v>0</v>
      </c>
      <c r="K14" s="41">
        <v>0</v>
      </c>
      <c r="L14" s="41">
        <f t="shared" si="3"/>
        <v>0</v>
      </c>
      <c r="M14" s="42"/>
      <c r="N14" s="35"/>
      <c r="Z14" s="14">
        <f t="shared" si="4"/>
        <v>0</v>
      </c>
      <c r="AB14" s="14">
        <f t="shared" si="5"/>
        <v>0</v>
      </c>
      <c r="AC14" s="14">
        <f t="shared" si="6"/>
        <v>0</v>
      </c>
      <c r="AD14" s="14">
        <f t="shared" si="7"/>
        <v>0</v>
      </c>
      <c r="AE14" s="14">
        <f t="shared" si="8"/>
        <v>0</v>
      </c>
      <c r="AF14" s="14">
        <f t="shared" si="9"/>
        <v>0</v>
      </c>
      <c r="AG14" s="14">
        <f t="shared" si="10"/>
        <v>0</v>
      </c>
      <c r="AH14" s="14">
        <f t="shared" si="11"/>
        <v>0</v>
      </c>
      <c r="AI14" s="10"/>
      <c r="AJ14" s="7">
        <f t="shared" si="12"/>
        <v>0</v>
      </c>
      <c r="AK14" s="7">
        <f t="shared" si="13"/>
        <v>0</v>
      </c>
      <c r="AL14" s="7">
        <f t="shared" si="14"/>
        <v>0</v>
      </c>
      <c r="AN14" s="14">
        <v>21</v>
      </c>
      <c r="AO14" s="14">
        <f t="shared" si="15"/>
        <v>0</v>
      </c>
      <c r="AP14" s="14">
        <f t="shared" si="16"/>
        <v>0</v>
      </c>
      <c r="AQ14" s="15" t="s">
        <v>6</v>
      </c>
      <c r="AV14" s="14">
        <f t="shared" si="17"/>
        <v>0</v>
      </c>
      <c r="AW14" s="14">
        <f t="shared" si="18"/>
        <v>0</v>
      </c>
      <c r="AX14" s="14">
        <f t="shared" si="19"/>
        <v>0</v>
      </c>
      <c r="AY14" s="17" t="s">
        <v>310</v>
      </c>
      <c r="AZ14" s="17" t="s">
        <v>328</v>
      </c>
      <c r="BA14" s="10" t="s">
        <v>337</v>
      </c>
      <c r="BC14" s="14">
        <f t="shared" si="20"/>
        <v>0</v>
      </c>
      <c r="BD14" s="14">
        <f t="shared" si="21"/>
        <v>0</v>
      </c>
      <c r="BE14" s="14">
        <v>0</v>
      </c>
      <c r="BF14" s="14">
        <f t="shared" si="22"/>
        <v>0</v>
      </c>
      <c r="BH14" s="7">
        <f t="shared" si="23"/>
        <v>0</v>
      </c>
      <c r="BI14" s="7">
        <f t="shared" si="24"/>
        <v>0</v>
      </c>
      <c r="BJ14" s="7">
        <f t="shared" si="25"/>
        <v>0</v>
      </c>
      <c r="BK14" s="7" t="s">
        <v>342</v>
      </c>
      <c r="BL14" s="14">
        <v>13</v>
      </c>
    </row>
    <row r="15" spans="1:64" ht="12.75">
      <c r="A15" s="40" t="s">
        <v>8</v>
      </c>
      <c r="B15" s="40"/>
      <c r="C15" s="40" t="s">
        <v>92</v>
      </c>
      <c r="D15" s="53" t="s">
        <v>175</v>
      </c>
      <c r="E15" s="40" t="s">
        <v>276</v>
      </c>
      <c r="F15" s="41">
        <v>18.28915</v>
      </c>
      <c r="G15" s="253"/>
      <c r="H15" s="41">
        <f t="shared" si="0"/>
        <v>0</v>
      </c>
      <c r="I15" s="41">
        <f t="shared" si="1"/>
        <v>0</v>
      </c>
      <c r="J15" s="41">
        <f t="shared" si="2"/>
        <v>0</v>
      </c>
      <c r="K15" s="41">
        <v>0</v>
      </c>
      <c r="L15" s="41">
        <f t="shared" si="3"/>
        <v>0</v>
      </c>
      <c r="M15" s="42"/>
      <c r="N15" s="35"/>
      <c r="Z15" s="14">
        <f t="shared" si="4"/>
        <v>0</v>
      </c>
      <c r="AB15" s="14">
        <f t="shared" si="5"/>
        <v>0</v>
      </c>
      <c r="AC15" s="14">
        <f t="shared" si="6"/>
        <v>0</v>
      </c>
      <c r="AD15" s="14">
        <f t="shared" si="7"/>
        <v>0</v>
      </c>
      <c r="AE15" s="14">
        <f t="shared" si="8"/>
        <v>0</v>
      </c>
      <c r="AF15" s="14">
        <f t="shared" si="9"/>
        <v>0</v>
      </c>
      <c r="AG15" s="14">
        <f t="shared" si="10"/>
        <v>0</v>
      </c>
      <c r="AH15" s="14">
        <f t="shared" si="11"/>
        <v>0</v>
      </c>
      <c r="AI15" s="10"/>
      <c r="AJ15" s="7">
        <f t="shared" si="12"/>
        <v>0</v>
      </c>
      <c r="AK15" s="7">
        <f t="shared" si="13"/>
        <v>0</v>
      </c>
      <c r="AL15" s="7">
        <f t="shared" si="14"/>
        <v>0</v>
      </c>
      <c r="AN15" s="14">
        <v>21</v>
      </c>
      <c r="AO15" s="14">
        <f t="shared" si="15"/>
        <v>0</v>
      </c>
      <c r="AP15" s="14">
        <f t="shared" si="16"/>
        <v>0</v>
      </c>
      <c r="AQ15" s="15" t="s">
        <v>6</v>
      </c>
      <c r="AV15" s="14">
        <f t="shared" si="17"/>
        <v>0</v>
      </c>
      <c r="AW15" s="14">
        <f t="shared" si="18"/>
        <v>0</v>
      </c>
      <c r="AX15" s="14">
        <f t="shared" si="19"/>
        <v>0</v>
      </c>
      <c r="AY15" s="17" t="s">
        <v>310</v>
      </c>
      <c r="AZ15" s="17" t="s">
        <v>328</v>
      </c>
      <c r="BA15" s="10" t="s">
        <v>337</v>
      </c>
      <c r="BC15" s="14">
        <f t="shared" si="20"/>
        <v>0</v>
      </c>
      <c r="BD15" s="14">
        <f t="shared" si="21"/>
        <v>0</v>
      </c>
      <c r="BE15" s="14">
        <v>0</v>
      </c>
      <c r="BF15" s="14">
        <f t="shared" si="22"/>
        <v>0</v>
      </c>
      <c r="BH15" s="7">
        <f t="shared" si="23"/>
        <v>0</v>
      </c>
      <c r="BI15" s="7">
        <f t="shared" si="24"/>
        <v>0</v>
      </c>
      <c r="BJ15" s="7">
        <f t="shared" si="25"/>
        <v>0</v>
      </c>
      <c r="BK15" s="7" t="s">
        <v>342</v>
      </c>
      <c r="BL15" s="14">
        <v>13</v>
      </c>
    </row>
    <row r="16" spans="1:64" ht="12.75">
      <c r="A16" s="40" t="s">
        <v>9</v>
      </c>
      <c r="B16" s="40"/>
      <c r="C16" s="40" t="s">
        <v>93</v>
      </c>
      <c r="D16" s="53" t="s">
        <v>176</v>
      </c>
      <c r="E16" s="40" t="s">
        <v>276</v>
      </c>
      <c r="F16" s="41">
        <v>9.14458</v>
      </c>
      <c r="G16" s="253"/>
      <c r="H16" s="41">
        <f t="shared" si="0"/>
        <v>0</v>
      </c>
      <c r="I16" s="41">
        <f t="shared" si="1"/>
        <v>0</v>
      </c>
      <c r="J16" s="41">
        <f t="shared" si="2"/>
        <v>0</v>
      </c>
      <c r="K16" s="41">
        <v>0</v>
      </c>
      <c r="L16" s="41">
        <f t="shared" si="3"/>
        <v>0</v>
      </c>
      <c r="M16" s="42"/>
      <c r="N16" s="35"/>
      <c r="Z16" s="14">
        <f t="shared" si="4"/>
        <v>0</v>
      </c>
      <c r="AB16" s="14">
        <f t="shared" si="5"/>
        <v>0</v>
      </c>
      <c r="AC16" s="14">
        <f t="shared" si="6"/>
        <v>0</v>
      </c>
      <c r="AD16" s="14">
        <f t="shared" si="7"/>
        <v>0</v>
      </c>
      <c r="AE16" s="14">
        <f t="shared" si="8"/>
        <v>0</v>
      </c>
      <c r="AF16" s="14">
        <f t="shared" si="9"/>
        <v>0</v>
      </c>
      <c r="AG16" s="14">
        <f t="shared" si="10"/>
        <v>0</v>
      </c>
      <c r="AH16" s="14">
        <f t="shared" si="11"/>
        <v>0</v>
      </c>
      <c r="AI16" s="10"/>
      <c r="AJ16" s="7">
        <f t="shared" si="12"/>
        <v>0</v>
      </c>
      <c r="AK16" s="7">
        <f t="shared" si="13"/>
        <v>0</v>
      </c>
      <c r="AL16" s="7">
        <f t="shared" si="14"/>
        <v>0</v>
      </c>
      <c r="AN16" s="14">
        <v>21</v>
      </c>
      <c r="AO16" s="14">
        <f t="shared" si="15"/>
        <v>0</v>
      </c>
      <c r="AP16" s="14">
        <f t="shared" si="16"/>
        <v>0</v>
      </c>
      <c r="AQ16" s="15" t="s">
        <v>6</v>
      </c>
      <c r="AV16" s="14">
        <f t="shared" si="17"/>
        <v>0</v>
      </c>
      <c r="AW16" s="14">
        <f t="shared" si="18"/>
        <v>0</v>
      </c>
      <c r="AX16" s="14">
        <f t="shared" si="19"/>
        <v>0</v>
      </c>
      <c r="AY16" s="17" t="s">
        <v>310</v>
      </c>
      <c r="AZ16" s="17" t="s">
        <v>328</v>
      </c>
      <c r="BA16" s="10" t="s">
        <v>337</v>
      </c>
      <c r="BC16" s="14">
        <f t="shared" si="20"/>
        <v>0</v>
      </c>
      <c r="BD16" s="14">
        <f t="shared" si="21"/>
        <v>0</v>
      </c>
      <c r="BE16" s="14">
        <v>0</v>
      </c>
      <c r="BF16" s="14">
        <f t="shared" si="22"/>
        <v>0</v>
      </c>
      <c r="BH16" s="7">
        <f t="shared" si="23"/>
        <v>0</v>
      </c>
      <c r="BI16" s="7">
        <f t="shared" si="24"/>
        <v>0</v>
      </c>
      <c r="BJ16" s="7">
        <f t="shared" si="25"/>
        <v>0</v>
      </c>
      <c r="BK16" s="7" t="s">
        <v>342</v>
      </c>
      <c r="BL16" s="14">
        <v>13</v>
      </c>
    </row>
    <row r="17" spans="1:64" ht="12.75">
      <c r="A17" s="40" t="s">
        <v>10</v>
      </c>
      <c r="B17" s="40"/>
      <c r="C17" s="40" t="s">
        <v>92</v>
      </c>
      <c r="D17" s="53" t="s">
        <v>177</v>
      </c>
      <c r="E17" s="40" t="s">
        <v>276</v>
      </c>
      <c r="F17" s="41">
        <v>3.48</v>
      </c>
      <c r="G17" s="253"/>
      <c r="H17" s="41">
        <f t="shared" si="0"/>
        <v>0</v>
      </c>
      <c r="I17" s="41">
        <f t="shared" si="1"/>
        <v>0</v>
      </c>
      <c r="J17" s="41">
        <f t="shared" si="2"/>
        <v>0</v>
      </c>
      <c r="K17" s="41">
        <v>0</v>
      </c>
      <c r="L17" s="41">
        <f t="shared" si="3"/>
        <v>0</v>
      </c>
      <c r="M17" s="42"/>
      <c r="N17" s="35"/>
      <c r="Z17" s="14">
        <f t="shared" si="4"/>
        <v>0</v>
      </c>
      <c r="AB17" s="14">
        <f t="shared" si="5"/>
        <v>0</v>
      </c>
      <c r="AC17" s="14">
        <f t="shared" si="6"/>
        <v>0</v>
      </c>
      <c r="AD17" s="14">
        <f t="shared" si="7"/>
        <v>0</v>
      </c>
      <c r="AE17" s="14">
        <f t="shared" si="8"/>
        <v>0</v>
      </c>
      <c r="AF17" s="14">
        <f t="shared" si="9"/>
        <v>0</v>
      </c>
      <c r="AG17" s="14">
        <f t="shared" si="10"/>
        <v>0</v>
      </c>
      <c r="AH17" s="14">
        <f t="shared" si="11"/>
        <v>0</v>
      </c>
      <c r="AI17" s="10"/>
      <c r="AJ17" s="7">
        <f t="shared" si="12"/>
        <v>0</v>
      </c>
      <c r="AK17" s="7">
        <f t="shared" si="13"/>
        <v>0</v>
      </c>
      <c r="AL17" s="7">
        <f t="shared" si="14"/>
        <v>0</v>
      </c>
      <c r="AN17" s="14">
        <v>21</v>
      </c>
      <c r="AO17" s="14">
        <f t="shared" si="15"/>
        <v>0</v>
      </c>
      <c r="AP17" s="14">
        <f t="shared" si="16"/>
        <v>0</v>
      </c>
      <c r="AQ17" s="15" t="s">
        <v>6</v>
      </c>
      <c r="AV17" s="14">
        <f t="shared" si="17"/>
        <v>0</v>
      </c>
      <c r="AW17" s="14">
        <f t="shared" si="18"/>
        <v>0</v>
      </c>
      <c r="AX17" s="14">
        <f t="shared" si="19"/>
        <v>0</v>
      </c>
      <c r="AY17" s="17" t="s">
        <v>310</v>
      </c>
      <c r="AZ17" s="17" t="s">
        <v>328</v>
      </c>
      <c r="BA17" s="10" t="s">
        <v>337</v>
      </c>
      <c r="BC17" s="14">
        <f t="shared" si="20"/>
        <v>0</v>
      </c>
      <c r="BD17" s="14">
        <f t="shared" si="21"/>
        <v>0</v>
      </c>
      <c r="BE17" s="14">
        <v>0</v>
      </c>
      <c r="BF17" s="14">
        <f t="shared" si="22"/>
        <v>0</v>
      </c>
      <c r="BH17" s="7">
        <f t="shared" si="23"/>
        <v>0</v>
      </c>
      <c r="BI17" s="7">
        <f t="shared" si="24"/>
        <v>0</v>
      </c>
      <c r="BJ17" s="7">
        <f t="shared" si="25"/>
        <v>0</v>
      </c>
      <c r="BK17" s="7" t="s">
        <v>342</v>
      </c>
      <c r="BL17" s="14">
        <v>13</v>
      </c>
    </row>
    <row r="18" spans="1:64" ht="12.75">
      <c r="A18" s="40" t="s">
        <v>11</v>
      </c>
      <c r="B18" s="40"/>
      <c r="C18" s="40" t="s">
        <v>92</v>
      </c>
      <c r="D18" s="53" t="s">
        <v>178</v>
      </c>
      <c r="E18" s="40" t="s">
        <v>276</v>
      </c>
      <c r="F18" s="41">
        <v>0.768</v>
      </c>
      <c r="G18" s="253"/>
      <c r="H18" s="41">
        <f t="shared" si="0"/>
        <v>0</v>
      </c>
      <c r="I18" s="41">
        <f t="shared" si="1"/>
        <v>0</v>
      </c>
      <c r="J18" s="41">
        <f t="shared" si="2"/>
        <v>0</v>
      </c>
      <c r="K18" s="41">
        <v>0</v>
      </c>
      <c r="L18" s="41">
        <f t="shared" si="3"/>
        <v>0</v>
      </c>
      <c r="M18" s="42"/>
      <c r="N18" s="35"/>
      <c r="Z18" s="14">
        <f t="shared" si="4"/>
        <v>0</v>
      </c>
      <c r="AB18" s="14">
        <f t="shared" si="5"/>
        <v>0</v>
      </c>
      <c r="AC18" s="14">
        <f t="shared" si="6"/>
        <v>0</v>
      </c>
      <c r="AD18" s="14">
        <f t="shared" si="7"/>
        <v>0</v>
      </c>
      <c r="AE18" s="14">
        <f t="shared" si="8"/>
        <v>0</v>
      </c>
      <c r="AF18" s="14">
        <f t="shared" si="9"/>
        <v>0</v>
      </c>
      <c r="AG18" s="14">
        <f t="shared" si="10"/>
        <v>0</v>
      </c>
      <c r="AH18" s="14">
        <f t="shared" si="11"/>
        <v>0</v>
      </c>
      <c r="AI18" s="10"/>
      <c r="AJ18" s="7">
        <f t="shared" si="12"/>
        <v>0</v>
      </c>
      <c r="AK18" s="7">
        <f t="shared" si="13"/>
        <v>0</v>
      </c>
      <c r="AL18" s="7">
        <f t="shared" si="14"/>
        <v>0</v>
      </c>
      <c r="AN18" s="14">
        <v>21</v>
      </c>
      <c r="AO18" s="14">
        <f t="shared" si="15"/>
        <v>0</v>
      </c>
      <c r="AP18" s="14">
        <f t="shared" si="16"/>
        <v>0</v>
      </c>
      <c r="AQ18" s="15" t="s">
        <v>6</v>
      </c>
      <c r="AV18" s="14">
        <f t="shared" si="17"/>
        <v>0</v>
      </c>
      <c r="AW18" s="14">
        <f t="shared" si="18"/>
        <v>0</v>
      </c>
      <c r="AX18" s="14">
        <f t="shared" si="19"/>
        <v>0</v>
      </c>
      <c r="AY18" s="17" t="s">
        <v>310</v>
      </c>
      <c r="AZ18" s="17" t="s">
        <v>328</v>
      </c>
      <c r="BA18" s="10" t="s">
        <v>337</v>
      </c>
      <c r="BC18" s="14">
        <f t="shared" si="20"/>
        <v>0</v>
      </c>
      <c r="BD18" s="14">
        <f t="shared" si="21"/>
        <v>0</v>
      </c>
      <c r="BE18" s="14">
        <v>0</v>
      </c>
      <c r="BF18" s="14">
        <f t="shared" si="22"/>
        <v>0</v>
      </c>
      <c r="BH18" s="7">
        <f t="shared" si="23"/>
        <v>0</v>
      </c>
      <c r="BI18" s="7">
        <f t="shared" si="24"/>
        <v>0</v>
      </c>
      <c r="BJ18" s="7">
        <f t="shared" si="25"/>
        <v>0</v>
      </c>
      <c r="BK18" s="7" t="s">
        <v>342</v>
      </c>
      <c r="BL18" s="14">
        <v>13</v>
      </c>
    </row>
    <row r="19" spans="1:47" ht="12.75">
      <c r="A19" s="36"/>
      <c r="B19" s="37"/>
      <c r="C19" s="37" t="s">
        <v>21</v>
      </c>
      <c r="D19" s="52" t="s">
        <v>179</v>
      </c>
      <c r="E19" s="36" t="s">
        <v>5</v>
      </c>
      <c r="F19" s="36" t="s">
        <v>5</v>
      </c>
      <c r="G19" s="254" t="s">
        <v>5</v>
      </c>
      <c r="H19" s="38">
        <f>SUM(H20:H27)</f>
        <v>0</v>
      </c>
      <c r="I19" s="38">
        <f>SUM(I20:I27)</f>
        <v>0</v>
      </c>
      <c r="J19" s="38">
        <f>SUM(J20:J27)</f>
        <v>0</v>
      </c>
      <c r="K19" s="39"/>
      <c r="L19" s="38">
        <f>SUM(L20:L27)</f>
        <v>0</v>
      </c>
      <c r="M19" s="39"/>
      <c r="N19" s="35"/>
      <c r="AI19" s="10"/>
      <c r="AS19" s="19">
        <f>SUM(AJ20:AJ27)</f>
        <v>0</v>
      </c>
      <c r="AT19" s="19">
        <f>SUM(AK20:AK27)</f>
        <v>0</v>
      </c>
      <c r="AU19" s="19">
        <f>SUM(AL20:AL27)</f>
        <v>0</v>
      </c>
    </row>
    <row r="20" spans="1:64" ht="12.75">
      <c r="A20" s="40" t="s">
        <v>12</v>
      </c>
      <c r="B20" s="40"/>
      <c r="C20" s="40" t="s">
        <v>94</v>
      </c>
      <c r="D20" s="53" t="s">
        <v>180</v>
      </c>
      <c r="E20" s="40" t="s">
        <v>276</v>
      </c>
      <c r="F20" s="41">
        <v>44.75455</v>
      </c>
      <c r="G20" s="253"/>
      <c r="H20" s="41">
        <f aca="true" t="shared" si="26" ref="H20:H27">F20*AO20</f>
        <v>0</v>
      </c>
      <c r="I20" s="41">
        <f aca="true" t="shared" si="27" ref="I20:I27">F20*AP20</f>
        <v>0</v>
      </c>
      <c r="J20" s="41">
        <f aca="true" t="shared" si="28" ref="J20:J27">F20*G20</f>
        <v>0</v>
      </c>
      <c r="K20" s="41">
        <v>0</v>
      </c>
      <c r="L20" s="41">
        <f aca="true" t="shared" si="29" ref="L20:L27">F20*K20</f>
        <v>0</v>
      </c>
      <c r="M20" s="42"/>
      <c r="N20" s="35"/>
      <c r="Z20" s="14">
        <f aca="true" t="shared" si="30" ref="Z20:Z27">IF(AQ20="5",BJ20,0)</f>
        <v>0</v>
      </c>
      <c r="AB20" s="14">
        <f aca="true" t="shared" si="31" ref="AB20:AB27">IF(AQ20="1",BH20,0)</f>
        <v>0</v>
      </c>
      <c r="AC20" s="14">
        <f aca="true" t="shared" si="32" ref="AC20:AC27">IF(AQ20="1",BI20,0)</f>
        <v>0</v>
      </c>
      <c r="AD20" s="14">
        <f aca="true" t="shared" si="33" ref="AD20:AD27">IF(AQ20="7",BH20,0)</f>
        <v>0</v>
      </c>
      <c r="AE20" s="14">
        <f aca="true" t="shared" si="34" ref="AE20:AE27">IF(AQ20="7",BI20,0)</f>
        <v>0</v>
      </c>
      <c r="AF20" s="14">
        <f aca="true" t="shared" si="35" ref="AF20:AF27">IF(AQ20="2",BH20,0)</f>
        <v>0</v>
      </c>
      <c r="AG20" s="14">
        <f aca="true" t="shared" si="36" ref="AG20:AG27">IF(AQ20="2",BI20,0)</f>
        <v>0</v>
      </c>
      <c r="AH20" s="14">
        <f aca="true" t="shared" si="37" ref="AH20:AH27">IF(AQ20="0",BJ20,0)</f>
        <v>0</v>
      </c>
      <c r="AI20" s="10"/>
      <c r="AJ20" s="7">
        <f aca="true" t="shared" si="38" ref="AJ20:AJ27">IF(AN20=0,J20,0)</f>
        <v>0</v>
      </c>
      <c r="AK20" s="7">
        <f aca="true" t="shared" si="39" ref="AK20:AK27">IF(AN20=15,J20,0)</f>
        <v>0</v>
      </c>
      <c r="AL20" s="7">
        <f aca="true" t="shared" si="40" ref="AL20:AL27">IF(AN20=21,J20,0)</f>
        <v>0</v>
      </c>
      <c r="AN20" s="14">
        <v>21</v>
      </c>
      <c r="AO20" s="14">
        <f aca="true" t="shared" si="41" ref="AO20:AO27">G20*0</f>
        <v>0</v>
      </c>
      <c r="AP20" s="14">
        <f aca="true" t="shared" si="42" ref="AP20:AP27">G20*(1-0)</f>
        <v>0</v>
      </c>
      <c r="AQ20" s="15" t="s">
        <v>6</v>
      </c>
      <c r="AV20" s="14">
        <f aca="true" t="shared" si="43" ref="AV20:AV27">AW20+AX20</f>
        <v>0</v>
      </c>
      <c r="AW20" s="14">
        <f aca="true" t="shared" si="44" ref="AW20:AW27">F20*AO20</f>
        <v>0</v>
      </c>
      <c r="AX20" s="14">
        <f aca="true" t="shared" si="45" ref="AX20:AX27">F20*AP20</f>
        <v>0</v>
      </c>
      <c r="AY20" s="17" t="s">
        <v>311</v>
      </c>
      <c r="AZ20" s="17" t="s">
        <v>328</v>
      </c>
      <c r="BA20" s="10" t="s">
        <v>337</v>
      </c>
      <c r="BC20" s="14">
        <f aca="true" t="shared" si="46" ref="BC20:BC27">AW20+AX20</f>
        <v>0</v>
      </c>
      <c r="BD20" s="14">
        <f aca="true" t="shared" si="47" ref="BD20:BD27">G20/(100-BE20)*100</f>
        <v>0</v>
      </c>
      <c r="BE20" s="14">
        <v>0</v>
      </c>
      <c r="BF20" s="14">
        <f aca="true" t="shared" si="48" ref="BF20:BF27">L20</f>
        <v>0</v>
      </c>
      <c r="BH20" s="7">
        <f aca="true" t="shared" si="49" ref="BH20:BH27">F20*AO20</f>
        <v>0</v>
      </c>
      <c r="BI20" s="7">
        <f aca="true" t="shared" si="50" ref="BI20:BI27">F20*AP20</f>
        <v>0</v>
      </c>
      <c r="BJ20" s="7">
        <f aca="true" t="shared" si="51" ref="BJ20:BJ27">F20*G20</f>
        <v>0</v>
      </c>
      <c r="BK20" s="7" t="s">
        <v>342</v>
      </c>
      <c r="BL20" s="14">
        <v>16</v>
      </c>
    </row>
    <row r="21" spans="1:64" ht="12.75">
      <c r="A21" s="40" t="s">
        <v>13</v>
      </c>
      <c r="B21" s="40"/>
      <c r="C21" s="40" t="s">
        <v>95</v>
      </c>
      <c r="D21" s="53" t="s">
        <v>181</v>
      </c>
      <c r="E21" s="40" t="s">
        <v>276</v>
      </c>
      <c r="F21" s="41">
        <v>179.0182</v>
      </c>
      <c r="G21" s="253"/>
      <c r="H21" s="41">
        <f t="shared" si="26"/>
        <v>0</v>
      </c>
      <c r="I21" s="41">
        <f t="shared" si="27"/>
        <v>0</v>
      </c>
      <c r="J21" s="41">
        <f t="shared" si="28"/>
        <v>0</v>
      </c>
      <c r="K21" s="41">
        <v>0</v>
      </c>
      <c r="L21" s="41">
        <f t="shared" si="29"/>
        <v>0</v>
      </c>
      <c r="M21" s="42"/>
      <c r="N21" s="35"/>
      <c r="Z21" s="14">
        <f t="shared" si="30"/>
        <v>0</v>
      </c>
      <c r="AB21" s="14">
        <f t="shared" si="31"/>
        <v>0</v>
      </c>
      <c r="AC21" s="14">
        <f t="shared" si="32"/>
        <v>0</v>
      </c>
      <c r="AD21" s="14">
        <f t="shared" si="33"/>
        <v>0</v>
      </c>
      <c r="AE21" s="14">
        <f t="shared" si="34"/>
        <v>0</v>
      </c>
      <c r="AF21" s="14">
        <f t="shared" si="35"/>
        <v>0</v>
      </c>
      <c r="AG21" s="14">
        <f t="shared" si="36"/>
        <v>0</v>
      </c>
      <c r="AH21" s="14">
        <f t="shared" si="37"/>
        <v>0</v>
      </c>
      <c r="AI21" s="10"/>
      <c r="AJ21" s="7">
        <f t="shared" si="38"/>
        <v>0</v>
      </c>
      <c r="AK21" s="7">
        <f t="shared" si="39"/>
        <v>0</v>
      </c>
      <c r="AL21" s="7">
        <f t="shared" si="40"/>
        <v>0</v>
      </c>
      <c r="AN21" s="14">
        <v>21</v>
      </c>
      <c r="AO21" s="14">
        <f t="shared" si="41"/>
        <v>0</v>
      </c>
      <c r="AP21" s="14">
        <f t="shared" si="42"/>
        <v>0</v>
      </c>
      <c r="AQ21" s="15" t="s">
        <v>6</v>
      </c>
      <c r="AV21" s="14">
        <f t="shared" si="43"/>
        <v>0</v>
      </c>
      <c r="AW21" s="14">
        <f t="shared" si="44"/>
        <v>0</v>
      </c>
      <c r="AX21" s="14">
        <f t="shared" si="45"/>
        <v>0</v>
      </c>
      <c r="AY21" s="17" t="s">
        <v>311</v>
      </c>
      <c r="AZ21" s="17" t="s">
        <v>328</v>
      </c>
      <c r="BA21" s="10" t="s">
        <v>337</v>
      </c>
      <c r="BC21" s="14">
        <f t="shared" si="46"/>
        <v>0</v>
      </c>
      <c r="BD21" s="14">
        <f t="shared" si="47"/>
        <v>0</v>
      </c>
      <c r="BE21" s="14">
        <v>0</v>
      </c>
      <c r="BF21" s="14">
        <f t="shared" si="48"/>
        <v>0</v>
      </c>
      <c r="BH21" s="7">
        <f t="shared" si="49"/>
        <v>0</v>
      </c>
      <c r="BI21" s="7">
        <f t="shared" si="50"/>
        <v>0</v>
      </c>
      <c r="BJ21" s="7">
        <f t="shared" si="51"/>
        <v>0</v>
      </c>
      <c r="BK21" s="7" t="s">
        <v>342</v>
      </c>
      <c r="BL21" s="14">
        <v>16</v>
      </c>
    </row>
    <row r="22" spans="1:64" ht="12.75">
      <c r="A22" s="40" t="s">
        <v>14</v>
      </c>
      <c r="B22" s="40"/>
      <c r="C22" s="40" t="s">
        <v>96</v>
      </c>
      <c r="D22" s="53" t="s">
        <v>182</v>
      </c>
      <c r="E22" s="40" t="s">
        <v>276</v>
      </c>
      <c r="F22" s="41">
        <v>22.53715</v>
      </c>
      <c r="G22" s="253"/>
      <c r="H22" s="41">
        <f t="shared" si="26"/>
        <v>0</v>
      </c>
      <c r="I22" s="41">
        <f t="shared" si="27"/>
        <v>0</v>
      </c>
      <c r="J22" s="41">
        <f t="shared" si="28"/>
        <v>0</v>
      </c>
      <c r="K22" s="41">
        <v>0</v>
      </c>
      <c r="L22" s="41">
        <f t="shared" si="29"/>
        <v>0</v>
      </c>
      <c r="M22" s="42"/>
      <c r="N22" s="35"/>
      <c r="Z22" s="14">
        <f t="shared" si="30"/>
        <v>0</v>
      </c>
      <c r="AB22" s="14">
        <f t="shared" si="31"/>
        <v>0</v>
      </c>
      <c r="AC22" s="14">
        <f t="shared" si="32"/>
        <v>0</v>
      </c>
      <c r="AD22" s="14">
        <f t="shared" si="33"/>
        <v>0</v>
      </c>
      <c r="AE22" s="14">
        <f t="shared" si="34"/>
        <v>0</v>
      </c>
      <c r="AF22" s="14">
        <f t="shared" si="35"/>
        <v>0</v>
      </c>
      <c r="AG22" s="14">
        <f t="shared" si="36"/>
        <v>0</v>
      </c>
      <c r="AH22" s="14">
        <f t="shared" si="37"/>
        <v>0</v>
      </c>
      <c r="AI22" s="10"/>
      <c r="AJ22" s="7">
        <f t="shared" si="38"/>
        <v>0</v>
      </c>
      <c r="AK22" s="7">
        <f t="shared" si="39"/>
        <v>0</v>
      </c>
      <c r="AL22" s="7">
        <f t="shared" si="40"/>
        <v>0</v>
      </c>
      <c r="AN22" s="14">
        <v>21</v>
      </c>
      <c r="AO22" s="14">
        <f t="shared" si="41"/>
        <v>0</v>
      </c>
      <c r="AP22" s="14">
        <f t="shared" si="42"/>
        <v>0</v>
      </c>
      <c r="AQ22" s="15" t="s">
        <v>6</v>
      </c>
      <c r="AV22" s="14">
        <f t="shared" si="43"/>
        <v>0</v>
      </c>
      <c r="AW22" s="14">
        <f t="shared" si="44"/>
        <v>0</v>
      </c>
      <c r="AX22" s="14">
        <f t="shared" si="45"/>
        <v>0</v>
      </c>
      <c r="AY22" s="17" t="s">
        <v>311</v>
      </c>
      <c r="AZ22" s="17" t="s">
        <v>328</v>
      </c>
      <c r="BA22" s="10" t="s">
        <v>337</v>
      </c>
      <c r="BC22" s="14">
        <f t="shared" si="46"/>
        <v>0</v>
      </c>
      <c r="BD22" s="14">
        <f t="shared" si="47"/>
        <v>0</v>
      </c>
      <c r="BE22" s="14">
        <v>0</v>
      </c>
      <c r="BF22" s="14">
        <f t="shared" si="48"/>
        <v>0</v>
      </c>
      <c r="BH22" s="7">
        <f t="shared" si="49"/>
        <v>0</v>
      </c>
      <c r="BI22" s="7">
        <f t="shared" si="50"/>
        <v>0</v>
      </c>
      <c r="BJ22" s="7">
        <f t="shared" si="51"/>
        <v>0</v>
      </c>
      <c r="BK22" s="7" t="s">
        <v>342</v>
      </c>
      <c r="BL22" s="14">
        <v>16</v>
      </c>
    </row>
    <row r="23" spans="1:64" ht="12.75">
      <c r="A23" s="40" t="s">
        <v>15</v>
      </c>
      <c r="B23" s="40"/>
      <c r="C23" s="40" t="s">
        <v>97</v>
      </c>
      <c r="D23" s="53" t="s">
        <v>183</v>
      </c>
      <c r="E23" s="40" t="s">
        <v>276</v>
      </c>
      <c r="F23" s="41">
        <v>22.53715</v>
      </c>
      <c r="G23" s="253"/>
      <c r="H23" s="41">
        <f t="shared" si="26"/>
        <v>0</v>
      </c>
      <c r="I23" s="41">
        <f t="shared" si="27"/>
        <v>0</v>
      </c>
      <c r="J23" s="41">
        <f t="shared" si="28"/>
        <v>0</v>
      </c>
      <c r="K23" s="41">
        <v>0</v>
      </c>
      <c r="L23" s="41">
        <f t="shared" si="29"/>
        <v>0</v>
      </c>
      <c r="M23" s="42"/>
      <c r="N23" s="35"/>
      <c r="Z23" s="14">
        <f t="shared" si="30"/>
        <v>0</v>
      </c>
      <c r="AB23" s="14">
        <f t="shared" si="31"/>
        <v>0</v>
      </c>
      <c r="AC23" s="14">
        <f t="shared" si="32"/>
        <v>0</v>
      </c>
      <c r="AD23" s="14">
        <f t="shared" si="33"/>
        <v>0</v>
      </c>
      <c r="AE23" s="14">
        <f t="shared" si="34"/>
        <v>0</v>
      </c>
      <c r="AF23" s="14">
        <f t="shared" si="35"/>
        <v>0</v>
      </c>
      <c r="AG23" s="14">
        <f t="shared" si="36"/>
        <v>0</v>
      </c>
      <c r="AH23" s="14">
        <f t="shared" si="37"/>
        <v>0</v>
      </c>
      <c r="AI23" s="10"/>
      <c r="AJ23" s="7">
        <f t="shared" si="38"/>
        <v>0</v>
      </c>
      <c r="AK23" s="7">
        <f t="shared" si="39"/>
        <v>0</v>
      </c>
      <c r="AL23" s="7">
        <f t="shared" si="40"/>
        <v>0</v>
      </c>
      <c r="AN23" s="14">
        <v>21</v>
      </c>
      <c r="AO23" s="14">
        <f t="shared" si="41"/>
        <v>0</v>
      </c>
      <c r="AP23" s="14">
        <f t="shared" si="42"/>
        <v>0</v>
      </c>
      <c r="AQ23" s="15" t="s">
        <v>6</v>
      </c>
      <c r="AV23" s="14">
        <f t="shared" si="43"/>
        <v>0</v>
      </c>
      <c r="AW23" s="14">
        <f t="shared" si="44"/>
        <v>0</v>
      </c>
      <c r="AX23" s="14">
        <f t="shared" si="45"/>
        <v>0</v>
      </c>
      <c r="AY23" s="17" t="s">
        <v>311</v>
      </c>
      <c r="AZ23" s="17" t="s">
        <v>328</v>
      </c>
      <c r="BA23" s="10" t="s">
        <v>337</v>
      </c>
      <c r="BC23" s="14">
        <f t="shared" si="46"/>
        <v>0</v>
      </c>
      <c r="BD23" s="14">
        <f t="shared" si="47"/>
        <v>0</v>
      </c>
      <c r="BE23" s="14">
        <v>0</v>
      </c>
      <c r="BF23" s="14">
        <f t="shared" si="48"/>
        <v>0</v>
      </c>
      <c r="BH23" s="7">
        <f t="shared" si="49"/>
        <v>0</v>
      </c>
      <c r="BI23" s="7">
        <f t="shared" si="50"/>
        <v>0</v>
      </c>
      <c r="BJ23" s="7">
        <f t="shared" si="51"/>
        <v>0</v>
      </c>
      <c r="BK23" s="7" t="s">
        <v>342</v>
      </c>
      <c r="BL23" s="14">
        <v>16</v>
      </c>
    </row>
    <row r="24" spans="1:64" ht="12.75">
      <c r="A24" s="43" t="s">
        <v>16</v>
      </c>
      <c r="B24" s="43"/>
      <c r="C24" s="43" t="s">
        <v>98</v>
      </c>
      <c r="D24" s="54" t="s">
        <v>184</v>
      </c>
      <c r="E24" s="43" t="s">
        <v>276</v>
      </c>
      <c r="F24" s="44">
        <v>49.20531</v>
      </c>
      <c r="G24" s="253"/>
      <c r="H24" s="44">
        <f t="shared" si="26"/>
        <v>0</v>
      </c>
      <c r="I24" s="44">
        <f t="shared" si="27"/>
        <v>0</v>
      </c>
      <c r="J24" s="44">
        <f t="shared" si="28"/>
        <v>0</v>
      </c>
      <c r="K24" s="44">
        <v>0</v>
      </c>
      <c r="L24" s="44">
        <f t="shared" si="29"/>
        <v>0</v>
      </c>
      <c r="M24" s="45"/>
      <c r="N24" s="35"/>
      <c r="Z24" s="14">
        <f t="shared" si="30"/>
        <v>0</v>
      </c>
      <c r="AB24" s="14">
        <f t="shared" si="31"/>
        <v>0</v>
      </c>
      <c r="AC24" s="14">
        <f t="shared" si="32"/>
        <v>0</v>
      </c>
      <c r="AD24" s="14">
        <f t="shared" si="33"/>
        <v>0</v>
      </c>
      <c r="AE24" s="14">
        <f t="shared" si="34"/>
        <v>0</v>
      </c>
      <c r="AF24" s="14">
        <f t="shared" si="35"/>
        <v>0</v>
      </c>
      <c r="AG24" s="14">
        <f t="shared" si="36"/>
        <v>0</v>
      </c>
      <c r="AH24" s="14">
        <f t="shared" si="37"/>
        <v>0</v>
      </c>
      <c r="AI24" s="10"/>
      <c r="AJ24" s="7">
        <f t="shared" si="38"/>
        <v>0</v>
      </c>
      <c r="AK24" s="7">
        <f t="shared" si="39"/>
        <v>0</v>
      </c>
      <c r="AL24" s="7">
        <f t="shared" si="40"/>
        <v>0</v>
      </c>
      <c r="AN24" s="14">
        <v>21</v>
      </c>
      <c r="AO24" s="14">
        <f t="shared" si="41"/>
        <v>0</v>
      </c>
      <c r="AP24" s="14">
        <f t="shared" si="42"/>
        <v>0</v>
      </c>
      <c r="AQ24" s="15" t="s">
        <v>6</v>
      </c>
      <c r="AV24" s="14">
        <f t="shared" si="43"/>
        <v>0</v>
      </c>
      <c r="AW24" s="14">
        <f t="shared" si="44"/>
        <v>0</v>
      </c>
      <c r="AX24" s="14">
        <f t="shared" si="45"/>
        <v>0</v>
      </c>
      <c r="AY24" s="17" t="s">
        <v>311</v>
      </c>
      <c r="AZ24" s="17" t="s">
        <v>328</v>
      </c>
      <c r="BA24" s="10" t="s">
        <v>337</v>
      </c>
      <c r="BC24" s="14">
        <f t="shared" si="46"/>
        <v>0</v>
      </c>
      <c r="BD24" s="14">
        <f t="shared" si="47"/>
        <v>0</v>
      </c>
      <c r="BE24" s="14">
        <v>0</v>
      </c>
      <c r="BF24" s="14">
        <f t="shared" si="48"/>
        <v>0</v>
      </c>
      <c r="BH24" s="7">
        <f t="shared" si="49"/>
        <v>0</v>
      </c>
      <c r="BI24" s="7">
        <f t="shared" si="50"/>
        <v>0</v>
      </c>
      <c r="BJ24" s="7">
        <f t="shared" si="51"/>
        <v>0</v>
      </c>
      <c r="BK24" s="7" t="s">
        <v>342</v>
      </c>
      <c r="BL24" s="14">
        <v>16</v>
      </c>
    </row>
    <row r="25" spans="1:64" ht="12.75">
      <c r="A25" s="43" t="s">
        <v>17</v>
      </c>
      <c r="B25" s="43"/>
      <c r="C25" s="43" t="s">
        <v>99</v>
      </c>
      <c r="D25" s="54" t="s">
        <v>185</v>
      </c>
      <c r="E25" s="43" t="s">
        <v>276</v>
      </c>
      <c r="F25" s="44">
        <v>49.20531</v>
      </c>
      <c r="G25" s="253"/>
      <c r="H25" s="44">
        <f t="shared" si="26"/>
        <v>0</v>
      </c>
      <c r="I25" s="44">
        <f t="shared" si="27"/>
        <v>0</v>
      </c>
      <c r="J25" s="44">
        <f t="shared" si="28"/>
        <v>0</v>
      </c>
      <c r="K25" s="44">
        <v>0</v>
      </c>
      <c r="L25" s="44">
        <f t="shared" si="29"/>
        <v>0</v>
      </c>
      <c r="M25" s="45"/>
      <c r="N25" s="35"/>
      <c r="Z25" s="14">
        <f t="shared" si="30"/>
        <v>0</v>
      </c>
      <c r="AB25" s="14">
        <f t="shared" si="31"/>
        <v>0</v>
      </c>
      <c r="AC25" s="14">
        <f t="shared" si="32"/>
        <v>0</v>
      </c>
      <c r="AD25" s="14">
        <f t="shared" si="33"/>
        <v>0</v>
      </c>
      <c r="AE25" s="14">
        <f t="shared" si="34"/>
        <v>0</v>
      </c>
      <c r="AF25" s="14">
        <f t="shared" si="35"/>
        <v>0</v>
      </c>
      <c r="AG25" s="14">
        <f t="shared" si="36"/>
        <v>0</v>
      </c>
      <c r="AH25" s="14">
        <f t="shared" si="37"/>
        <v>0</v>
      </c>
      <c r="AI25" s="10"/>
      <c r="AJ25" s="7">
        <f t="shared" si="38"/>
        <v>0</v>
      </c>
      <c r="AK25" s="7">
        <f t="shared" si="39"/>
        <v>0</v>
      </c>
      <c r="AL25" s="7">
        <f t="shared" si="40"/>
        <v>0</v>
      </c>
      <c r="AN25" s="14">
        <v>21</v>
      </c>
      <c r="AO25" s="14">
        <f t="shared" si="41"/>
        <v>0</v>
      </c>
      <c r="AP25" s="14">
        <f t="shared" si="42"/>
        <v>0</v>
      </c>
      <c r="AQ25" s="15" t="s">
        <v>6</v>
      </c>
      <c r="AV25" s="14">
        <f t="shared" si="43"/>
        <v>0</v>
      </c>
      <c r="AW25" s="14">
        <f t="shared" si="44"/>
        <v>0</v>
      </c>
      <c r="AX25" s="14">
        <f t="shared" si="45"/>
        <v>0</v>
      </c>
      <c r="AY25" s="17" t="s">
        <v>311</v>
      </c>
      <c r="AZ25" s="17" t="s">
        <v>328</v>
      </c>
      <c r="BA25" s="10" t="s">
        <v>337</v>
      </c>
      <c r="BC25" s="14">
        <f t="shared" si="46"/>
        <v>0</v>
      </c>
      <c r="BD25" s="14">
        <f t="shared" si="47"/>
        <v>0</v>
      </c>
      <c r="BE25" s="14">
        <v>0</v>
      </c>
      <c r="BF25" s="14">
        <f t="shared" si="48"/>
        <v>0</v>
      </c>
      <c r="BH25" s="7">
        <f t="shared" si="49"/>
        <v>0</v>
      </c>
      <c r="BI25" s="7">
        <f t="shared" si="50"/>
        <v>0</v>
      </c>
      <c r="BJ25" s="7">
        <f t="shared" si="51"/>
        <v>0</v>
      </c>
      <c r="BK25" s="7" t="s">
        <v>342</v>
      </c>
      <c r="BL25" s="14">
        <v>16</v>
      </c>
    </row>
    <row r="26" spans="1:64" ht="12.75">
      <c r="A26" s="43" t="s">
        <v>18</v>
      </c>
      <c r="B26" s="43"/>
      <c r="C26" s="43" t="s">
        <v>100</v>
      </c>
      <c r="D26" s="54" t="s">
        <v>186</v>
      </c>
      <c r="E26" s="43" t="s">
        <v>276</v>
      </c>
      <c r="F26" s="44">
        <v>492.0531</v>
      </c>
      <c r="G26" s="253"/>
      <c r="H26" s="44">
        <f t="shared" si="26"/>
        <v>0</v>
      </c>
      <c r="I26" s="44">
        <f t="shared" si="27"/>
        <v>0</v>
      </c>
      <c r="J26" s="44">
        <f t="shared" si="28"/>
        <v>0</v>
      </c>
      <c r="K26" s="44">
        <v>0</v>
      </c>
      <c r="L26" s="44">
        <f t="shared" si="29"/>
        <v>0</v>
      </c>
      <c r="M26" s="45"/>
      <c r="N26" s="35"/>
      <c r="Z26" s="14">
        <f t="shared" si="30"/>
        <v>0</v>
      </c>
      <c r="AB26" s="14">
        <f t="shared" si="31"/>
        <v>0</v>
      </c>
      <c r="AC26" s="14">
        <f t="shared" si="32"/>
        <v>0</v>
      </c>
      <c r="AD26" s="14">
        <f t="shared" si="33"/>
        <v>0</v>
      </c>
      <c r="AE26" s="14">
        <f t="shared" si="34"/>
        <v>0</v>
      </c>
      <c r="AF26" s="14">
        <f t="shared" si="35"/>
        <v>0</v>
      </c>
      <c r="AG26" s="14">
        <f t="shared" si="36"/>
        <v>0</v>
      </c>
      <c r="AH26" s="14">
        <f t="shared" si="37"/>
        <v>0</v>
      </c>
      <c r="AI26" s="10"/>
      <c r="AJ26" s="7">
        <f t="shared" si="38"/>
        <v>0</v>
      </c>
      <c r="AK26" s="7">
        <f t="shared" si="39"/>
        <v>0</v>
      </c>
      <c r="AL26" s="7">
        <f t="shared" si="40"/>
        <v>0</v>
      </c>
      <c r="AN26" s="14">
        <v>21</v>
      </c>
      <c r="AO26" s="14">
        <f t="shared" si="41"/>
        <v>0</v>
      </c>
      <c r="AP26" s="14">
        <f t="shared" si="42"/>
        <v>0</v>
      </c>
      <c r="AQ26" s="15" t="s">
        <v>6</v>
      </c>
      <c r="AV26" s="14">
        <f t="shared" si="43"/>
        <v>0</v>
      </c>
      <c r="AW26" s="14">
        <f t="shared" si="44"/>
        <v>0</v>
      </c>
      <c r="AX26" s="14">
        <f t="shared" si="45"/>
        <v>0</v>
      </c>
      <c r="AY26" s="17" t="s">
        <v>311</v>
      </c>
      <c r="AZ26" s="17" t="s">
        <v>328</v>
      </c>
      <c r="BA26" s="10" t="s">
        <v>337</v>
      </c>
      <c r="BC26" s="14">
        <f t="shared" si="46"/>
        <v>0</v>
      </c>
      <c r="BD26" s="14">
        <f t="shared" si="47"/>
        <v>0</v>
      </c>
      <c r="BE26" s="14">
        <v>0</v>
      </c>
      <c r="BF26" s="14">
        <f t="shared" si="48"/>
        <v>0</v>
      </c>
      <c r="BH26" s="7">
        <f t="shared" si="49"/>
        <v>0</v>
      </c>
      <c r="BI26" s="7">
        <f t="shared" si="50"/>
        <v>0</v>
      </c>
      <c r="BJ26" s="7">
        <f t="shared" si="51"/>
        <v>0</v>
      </c>
      <c r="BK26" s="7" t="s">
        <v>342</v>
      </c>
      <c r="BL26" s="14">
        <v>16</v>
      </c>
    </row>
    <row r="27" spans="1:64" ht="12.75">
      <c r="A27" s="43" t="s">
        <v>19</v>
      </c>
      <c r="B27" s="43"/>
      <c r="C27" s="43" t="s">
        <v>101</v>
      </c>
      <c r="D27" s="54" t="s">
        <v>187</v>
      </c>
      <c r="E27" s="43" t="s">
        <v>276</v>
      </c>
      <c r="F27" s="44">
        <v>49.20531</v>
      </c>
      <c r="G27" s="253"/>
      <c r="H27" s="44">
        <f t="shared" si="26"/>
        <v>0</v>
      </c>
      <c r="I27" s="44">
        <f t="shared" si="27"/>
        <v>0</v>
      </c>
      <c r="J27" s="44">
        <f t="shared" si="28"/>
        <v>0</v>
      </c>
      <c r="K27" s="44">
        <v>0</v>
      </c>
      <c r="L27" s="44">
        <f t="shared" si="29"/>
        <v>0</v>
      </c>
      <c r="M27" s="45"/>
      <c r="N27" s="35"/>
      <c r="Z27" s="14">
        <f t="shared" si="30"/>
        <v>0</v>
      </c>
      <c r="AB27" s="14">
        <f t="shared" si="31"/>
        <v>0</v>
      </c>
      <c r="AC27" s="14">
        <f t="shared" si="32"/>
        <v>0</v>
      </c>
      <c r="AD27" s="14">
        <f t="shared" si="33"/>
        <v>0</v>
      </c>
      <c r="AE27" s="14">
        <f t="shared" si="34"/>
        <v>0</v>
      </c>
      <c r="AF27" s="14">
        <f t="shared" si="35"/>
        <v>0</v>
      </c>
      <c r="AG27" s="14">
        <f t="shared" si="36"/>
        <v>0</v>
      </c>
      <c r="AH27" s="14">
        <f t="shared" si="37"/>
        <v>0</v>
      </c>
      <c r="AI27" s="10"/>
      <c r="AJ27" s="7">
        <f t="shared" si="38"/>
        <v>0</v>
      </c>
      <c r="AK27" s="7">
        <f t="shared" si="39"/>
        <v>0</v>
      </c>
      <c r="AL27" s="7">
        <f t="shared" si="40"/>
        <v>0</v>
      </c>
      <c r="AN27" s="14">
        <v>21</v>
      </c>
      <c r="AO27" s="14">
        <f t="shared" si="41"/>
        <v>0</v>
      </c>
      <c r="AP27" s="14">
        <f t="shared" si="42"/>
        <v>0</v>
      </c>
      <c r="AQ27" s="15" t="s">
        <v>6</v>
      </c>
      <c r="AV27" s="14">
        <f t="shared" si="43"/>
        <v>0</v>
      </c>
      <c r="AW27" s="14">
        <f t="shared" si="44"/>
        <v>0</v>
      </c>
      <c r="AX27" s="14">
        <f t="shared" si="45"/>
        <v>0</v>
      </c>
      <c r="AY27" s="17" t="s">
        <v>311</v>
      </c>
      <c r="AZ27" s="17" t="s">
        <v>328</v>
      </c>
      <c r="BA27" s="10" t="s">
        <v>337</v>
      </c>
      <c r="BC27" s="14">
        <f t="shared" si="46"/>
        <v>0</v>
      </c>
      <c r="BD27" s="14">
        <f t="shared" si="47"/>
        <v>0</v>
      </c>
      <c r="BE27" s="14">
        <v>0</v>
      </c>
      <c r="BF27" s="14">
        <f t="shared" si="48"/>
        <v>0</v>
      </c>
      <c r="BH27" s="7">
        <f t="shared" si="49"/>
        <v>0</v>
      </c>
      <c r="BI27" s="7">
        <f t="shared" si="50"/>
        <v>0</v>
      </c>
      <c r="BJ27" s="7">
        <f t="shared" si="51"/>
        <v>0</v>
      </c>
      <c r="BK27" s="7" t="s">
        <v>342</v>
      </c>
      <c r="BL27" s="14">
        <v>16</v>
      </c>
    </row>
    <row r="28" spans="1:47" ht="12.75">
      <c r="A28" s="36"/>
      <c r="B28" s="37"/>
      <c r="C28" s="37" t="s">
        <v>22</v>
      </c>
      <c r="D28" s="52" t="s">
        <v>188</v>
      </c>
      <c r="E28" s="36" t="s">
        <v>5</v>
      </c>
      <c r="F28" s="36" t="s">
        <v>5</v>
      </c>
      <c r="G28" s="254" t="s">
        <v>5</v>
      </c>
      <c r="H28" s="38">
        <f>SUM(H29:H33)</f>
        <v>0</v>
      </c>
      <c r="I28" s="38">
        <f>SUM(I29:I33)</f>
        <v>0</v>
      </c>
      <c r="J28" s="38">
        <f>SUM(J29:J33)</f>
        <v>0</v>
      </c>
      <c r="K28" s="39"/>
      <c r="L28" s="38">
        <f>SUM(L29:L33)</f>
        <v>18.99995</v>
      </c>
      <c r="M28" s="39"/>
      <c r="N28" s="35"/>
      <c r="AI28" s="10"/>
      <c r="AS28" s="19">
        <f>SUM(AJ29:AJ33)</f>
        <v>0</v>
      </c>
      <c r="AT28" s="19">
        <f>SUM(AK29:AK33)</f>
        <v>0</v>
      </c>
      <c r="AU28" s="19">
        <f>SUM(AL29:AL33)</f>
        <v>0</v>
      </c>
    </row>
    <row r="29" spans="1:64" ht="12.75">
      <c r="A29" s="40" t="s">
        <v>20</v>
      </c>
      <c r="B29" s="40"/>
      <c r="C29" s="40" t="s">
        <v>102</v>
      </c>
      <c r="D29" s="53" t="s">
        <v>189</v>
      </c>
      <c r="E29" s="40" t="s">
        <v>276</v>
      </c>
      <c r="F29" s="41">
        <v>10.55553</v>
      </c>
      <c r="G29" s="253"/>
      <c r="H29" s="41">
        <f>F29*AO29</f>
        <v>0</v>
      </c>
      <c r="I29" s="41">
        <f>F29*AP29</f>
        <v>0</v>
      </c>
      <c r="J29" s="41">
        <f>F29*G29</f>
        <v>0</v>
      </c>
      <c r="K29" s="41">
        <v>0</v>
      </c>
      <c r="L29" s="41">
        <f>F29*K29</f>
        <v>0</v>
      </c>
      <c r="M29" s="42"/>
      <c r="N29" s="35"/>
      <c r="Z29" s="14">
        <f>IF(AQ29="5",BJ29,0)</f>
        <v>0</v>
      </c>
      <c r="AB29" s="14">
        <f>IF(AQ29="1",BH29,0)</f>
        <v>0</v>
      </c>
      <c r="AC29" s="14">
        <f>IF(AQ29="1",BI29,0)</f>
        <v>0</v>
      </c>
      <c r="AD29" s="14">
        <f>IF(AQ29="7",BH29,0)</f>
        <v>0</v>
      </c>
      <c r="AE29" s="14">
        <f>IF(AQ29="7",BI29,0)</f>
        <v>0</v>
      </c>
      <c r="AF29" s="14">
        <f>IF(AQ29="2",BH29,0)</f>
        <v>0</v>
      </c>
      <c r="AG29" s="14">
        <f>IF(AQ29="2",BI29,0)</f>
        <v>0</v>
      </c>
      <c r="AH29" s="14">
        <f>IF(AQ29="0",BJ29,0)</f>
        <v>0</v>
      </c>
      <c r="AI29" s="10"/>
      <c r="AJ29" s="7">
        <f>IF(AN29=0,J29,0)</f>
        <v>0</v>
      </c>
      <c r="AK29" s="7">
        <f>IF(AN29=15,J29,0)</f>
        <v>0</v>
      </c>
      <c r="AL29" s="7">
        <f>IF(AN29=21,J29,0)</f>
        <v>0</v>
      </c>
      <c r="AN29" s="14">
        <v>21</v>
      </c>
      <c r="AO29" s="14">
        <f>G29*0</f>
        <v>0</v>
      </c>
      <c r="AP29" s="14">
        <f>G29*(1-0)</f>
        <v>0</v>
      </c>
      <c r="AQ29" s="15" t="s">
        <v>6</v>
      </c>
      <c r="AV29" s="14">
        <f>AW29+AX29</f>
        <v>0</v>
      </c>
      <c r="AW29" s="14">
        <f>F29*AO29</f>
        <v>0</v>
      </c>
      <c r="AX29" s="14">
        <f>F29*AP29</f>
        <v>0</v>
      </c>
      <c r="AY29" s="17" t="s">
        <v>312</v>
      </c>
      <c r="AZ29" s="17" t="s">
        <v>328</v>
      </c>
      <c r="BA29" s="10" t="s">
        <v>337</v>
      </c>
      <c r="BC29" s="14">
        <f>AW29+AX29</f>
        <v>0</v>
      </c>
      <c r="BD29" s="14">
        <f>G29/(100-BE29)*100</f>
        <v>0</v>
      </c>
      <c r="BE29" s="14">
        <v>0</v>
      </c>
      <c r="BF29" s="14">
        <f>L29</f>
        <v>0</v>
      </c>
      <c r="BH29" s="7">
        <f>F29*AO29</f>
        <v>0</v>
      </c>
      <c r="BI29" s="7">
        <f>F29*AP29</f>
        <v>0</v>
      </c>
      <c r="BJ29" s="7">
        <f>F29*G29</f>
        <v>0</v>
      </c>
      <c r="BK29" s="7" t="s">
        <v>342</v>
      </c>
      <c r="BL29" s="14">
        <v>17</v>
      </c>
    </row>
    <row r="30" spans="1:64" ht="12.75">
      <c r="A30" s="46" t="s">
        <v>21</v>
      </c>
      <c r="B30" s="46"/>
      <c r="C30" s="46" t="s">
        <v>103</v>
      </c>
      <c r="D30" s="55" t="s">
        <v>190</v>
      </c>
      <c r="E30" s="46" t="s">
        <v>277</v>
      </c>
      <c r="F30" s="59">
        <v>18.99995</v>
      </c>
      <c r="G30" s="255"/>
      <c r="H30" s="47">
        <f>F30*AO30</f>
        <v>0</v>
      </c>
      <c r="I30" s="47">
        <f>F30*AP30</f>
        <v>0</v>
      </c>
      <c r="J30" s="47">
        <f>F30*G30</f>
        <v>0</v>
      </c>
      <c r="K30" s="47">
        <v>1</v>
      </c>
      <c r="L30" s="47">
        <f>F30*K30</f>
        <v>18.99995</v>
      </c>
      <c r="M30" s="48"/>
      <c r="N30" s="35"/>
      <c r="Z30" s="14">
        <f>IF(AQ30="5",BJ30,0)</f>
        <v>0</v>
      </c>
      <c r="AB30" s="14">
        <f>IF(AQ30="1",BH30,0)</f>
        <v>0</v>
      </c>
      <c r="AC30" s="14">
        <f>IF(AQ30="1",BI30,0)</f>
        <v>0</v>
      </c>
      <c r="AD30" s="14">
        <f>IF(AQ30="7",BH30,0)</f>
        <v>0</v>
      </c>
      <c r="AE30" s="14">
        <f>IF(AQ30="7",BI30,0)</f>
        <v>0</v>
      </c>
      <c r="AF30" s="14">
        <f>IF(AQ30="2",BH30,0)</f>
        <v>0</v>
      </c>
      <c r="AG30" s="14">
        <f>IF(AQ30="2",BI30,0)</f>
        <v>0</v>
      </c>
      <c r="AH30" s="14">
        <f>IF(AQ30="0",BJ30,0)</f>
        <v>0</v>
      </c>
      <c r="AI30" s="10"/>
      <c r="AJ30" s="8">
        <f>IF(AN30=0,J30,0)</f>
        <v>0</v>
      </c>
      <c r="AK30" s="8">
        <f>IF(AN30=15,J30,0)</f>
        <v>0</v>
      </c>
      <c r="AL30" s="8">
        <f>IF(AN30=21,J30,0)</f>
        <v>0</v>
      </c>
      <c r="AN30" s="14">
        <v>21</v>
      </c>
      <c r="AO30" s="14">
        <f>G30*1</f>
        <v>0</v>
      </c>
      <c r="AP30" s="14">
        <f>G30*(1-1)</f>
        <v>0</v>
      </c>
      <c r="AQ30" s="16" t="s">
        <v>6</v>
      </c>
      <c r="AV30" s="14">
        <f>AW30+AX30</f>
        <v>0</v>
      </c>
      <c r="AW30" s="14">
        <f>F30*AO30</f>
        <v>0</v>
      </c>
      <c r="AX30" s="14">
        <f>F30*AP30</f>
        <v>0</v>
      </c>
      <c r="AY30" s="17" t="s">
        <v>312</v>
      </c>
      <c r="AZ30" s="17" t="s">
        <v>328</v>
      </c>
      <c r="BA30" s="10" t="s">
        <v>337</v>
      </c>
      <c r="BC30" s="14">
        <f>AW30+AX30</f>
        <v>0</v>
      </c>
      <c r="BD30" s="14">
        <f>G30/(100-BE30)*100</f>
        <v>0</v>
      </c>
      <c r="BE30" s="14">
        <v>0</v>
      </c>
      <c r="BF30" s="14">
        <f>L30</f>
        <v>18.99995</v>
      </c>
      <c r="BH30" s="8">
        <f>F30*AO30</f>
        <v>0</v>
      </c>
      <c r="BI30" s="8">
        <f>F30*AP30</f>
        <v>0</v>
      </c>
      <c r="BJ30" s="8">
        <f>F30*G30</f>
        <v>0</v>
      </c>
      <c r="BK30" s="8" t="s">
        <v>343</v>
      </c>
      <c r="BL30" s="14">
        <v>17</v>
      </c>
    </row>
    <row r="31" spans="1:64" ht="12.75">
      <c r="A31" s="43" t="s">
        <v>22</v>
      </c>
      <c r="B31" s="43"/>
      <c r="C31" s="43" t="s">
        <v>102</v>
      </c>
      <c r="D31" s="54" t="s">
        <v>191</v>
      </c>
      <c r="E31" s="43" t="s">
        <v>276</v>
      </c>
      <c r="F31" s="44">
        <v>0.6744</v>
      </c>
      <c r="G31" s="253"/>
      <c r="H31" s="44">
        <f>F31*AO31</f>
        <v>0</v>
      </c>
      <c r="I31" s="44">
        <f>F31*AP31</f>
        <v>0</v>
      </c>
      <c r="J31" s="44">
        <f>F31*G31</f>
        <v>0</v>
      </c>
      <c r="K31" s="44">
        <v>0</v>
      </c>
      <c r="L31" s="44">
        <f>F31*K31</f>
        <v>0</v>
      </c>
      <c r="M31" s="45"/>
      <c r="N31" s="35"/>
      <c r="Z31" s="14">
        <f>IF(AQ31="5",BJ31,0)</f>
        <v>0</v>
      </c>
      <c r="AB31" s="14">
        <f>IF(AQ31="1",BH31,0)</f>
        <v>0</v>
      </c>
      <c r="AC31" s="14">
        <f>IF(AQ31="1",BI31,0)</f>
        <v>0</v>
      </c>
      <c r="AD31" s="14">
        <f>IF(AQ31="7",BH31,0)</f>
        <v>0</v>
      </c>
      <c r="AE31" s="14">
        <f>IF(AQ31="7",BI31,0)</f>
        <v>0</v>
      </c>
      <c r="AF31" s="14">
        <f>IF(AQ31="2",BH31,0)</f>
        <v>0</v>
      </c>
      <c r="AG31" s="14">
        <f>IF(AQ31="2",BI31,0)</f>
        <v>0</v>
      </c>
      <c r="AH31" s="14">
        <f>IF(AQ31="0",BJ31,0)</f>
        <v>0</v>
      </c>
      <c r="AI31" s="10"/>
      <c r="AJ31" s="7">
        <f>IF(AN31=0,J31,0)</f>
        <v>0</v>
      </c>
      <c r="AK31" s="7">
        <f>IF(AN31=15,J31,0)</f>
        <v>0</v>
      </c>
      <c r="AL31" s="7">
        <f>IF(AN31=21,J31,0)</f>
        <v>0</v>
      </c>
      <c r="AN31" s="14">
        <v>21</v>
      </c>
      <c r="AO31" s="14">
        <f>G31*0</f>
        <v>0</v>
      </c>
      <c r="AP31" s="14">
        <f>G31*(1-0)</f>
        <v>0</v>
      </c>
      <c r="AQ31" s="15" t="s">
        <v>6</v>
      </c>
      <c r="AV31" s="14">
        <f>AW31+AX31</f>
        <v>0</v>
      </c>
      <c r="AW31" s="14">
        <f>F31*AO31</f>
        <v>0</v>
      </c>
      <c r="AX31" s="14">
        <f>F31*AP31</f>
        <v>0</v>
      </c>
      <c r="AY31" s="17" t="s">
        <v>312</v>
      </c>
      <c r="AZ31" s="17" t="s">
        <v>328</v>
      </c>
      <c r="BA31" s="10" t="s">
        <v>337</v>
      </c>
      <c r="BC31" s="14">
        <f>AW31+AX31</f>
        <v>0</v>
      </c>
      <c r="BD31" s="14">
        <f>G31/(100-BE31)*100</f>
        <v>0</v>
      </c>
      <c r="BE31" s="14">
        <v>0</v>
      </c>
      <c r="BF31" s="14">
        <f>L31</f>
        <v>0</v>
      </c>
      <c r="BH31" s="7">
        <f>F31*AO31</f>
        <v>0</v>
      </c>
      <c r="BI31" s="7">
        <f>F31*AP31</f>
        <v>0</v>
      </c>
      <c r="BJ31" s="7">
        <f>F31*G31</f>
        <v>0</v>
      </c>
      <c r="BK31" s="7" t="s">
        <v>342</v>
      </c>
      <c r="BL31" s="14">
        <v>17</v>
      </c>
    </row>
    <row r="32" spans="1:64" ht="12.75">
      <c r="A32" s="43" t="s">
        <v>23</v>
      </c>
      <c r="B32" s="43"/>
      <c r="C32" s="43" t="s">
        <v>102</v>
      </c>
      <c r="D32" s="54" t="s">
        <v>192</v>
      </c>
      <c r="E32" s="43" t="s">
        <v>276</v>
      </c>
      <c r="F32" s="44">
        <v>12.61199</v>
      </c>
      <c r="G32" s="253"/>
      <c r="H32" s="44">
        <f>F32*AO32</f>
        <v>0</v>
      </c>
      <c r="I32" s="44">
        <f>F32*AP32</f>
        <v>0</v>
      </c>
      <c r="J32" s="44">
        <f>F32*G32</f>
        <v>0</v>
      </c>
      <c r="K32" s="44">
        <v>0</v>
      </c>
      <c r="L32" s="44">
        <f>F32*K32</f>
        <v>0</v>
      </c>
      <c r="M32" s="45"/>
      <c r="N32" s="35"/>
      <c r="Z32" s="14">
        <f>IF(AQ32="5",BJ32,0)</f>
        <v>0</v>
      </c>
      <c r="AB32" s="14">
        <f>IF(AQ32="1",BH32,0)</f>
        <v>0</v>
      </c>
      <c r="AC32" s="14">
        <f>IF(AQ32="1",BI32,0)</f>
        <v>0</v>
      </c>
      <c r="AD32" s="14">
        <f>IF(AQ32="7",BH32,0)</f>
        <v>0</v>
      </c>
      <c r="AE32" s="14">
        <f>IF(AQ32="7",BI32,0)</f>
        <v>0</v>
      </c>
      <c r="AF32" s="14">
        <f>IF(AQ32="2",BH32,0)</f>
        <v>0</v>
      </c>
      <c r="AG32" s="14">
        <f>IF(AQ32="2",BI32,0)</f>
        <v>0</v>
      </c>
      <c r="AH32" s="14">
        <f>IF(AQ32="0",BJ32,0)</f>
        <v>0</v>
      </c>
      <c r="AI32" s="10"/>
      <c r="AJ32" s="7">
        <f>IF(AN32=0,J32,0)</f>
        <v>0</v>
      </c>
      <c r="AK32" s="7">
        <f>IF(AN32=15,J32,0)</f>
        <v>0</v>
      </c>
      <c r="AL32" s="7">
        <f>IF(AN32=21,J32,0)</f>
        <v>0</v>
      </c>
      <c r="AN32" s="14">
        <v>21</v>
      </c>
      <c r="AO32" s="14">
        <f>G32*0</f>
        <v>0</v>
      </c>
      <c r="AP32" s="14">
        <f>G32*(1-0)</f>
        <v>0</v>
      </c>
      <c r="AQ32" s="15" t="s">
        <v>6</v>
      </c>
      <c r="AV32" s="14">
        <f>AW32+AX32</f>
        <v>0</v>
      </c>
      <c r="AW32" s="14">
        <f>F32*AO32</f>
        <v>0</v>
      </c>
      <c r="AX32" s="14">
        <f>F32*AP32</f>
        <v>0</v>
      </c>
      <c r="AY32" s="17" t="s">
        <v>312</v>
      </c>
      <c r="AZ32" s="17" t="s">
        <v>328</v>
      </c>
      <c r="BA32" s="10" t="s">
        <v>337</v>
      </c>
      <c r="BC32" s="14">
        <f>AW32+AX32</f>
        <v>0</v>
      </c>
      <c r="BD32" s="14">
        <f>G32/(100-BE32)*100</f>
        <v>0</v>
      </c>
      <c r="BE32" s="14">
        <v>0</v>
      </c>
      <c r="BF32" s="14">
        <f>L32</f>
        <v>0</v>
      </c>
      <c r="BH32" s="7">
        <f>F32*AO32</f>
        <v>0</v>
      </c>
      <c r="BI32" s="7">
        <f>F32*AP32</f>
        <v>0</v>
      </c>
      <c r="BJ32" s="7">
        <f>F32*G32</f>
        <v>0</v>
      </c>
      <c r="BK32" s="7" t="s">
        <v>342</v>
      </c>
      <c r="BL32" s="14">
        <v>17</v>
      </c>
    </row>
    <row r="33" spans="1:64" ht="12.75">
      <c r="A33" s="40" t="s">
        <v>24</v>
      </c>
      <c r="B33" s="40"/>
      <c r="C33" s="40" t="s">
        <v>102</v>
      </c>
      <c r="D33" s="53" t="s">
        <v>193</v>
      </c>
      <c r="E33" s="40" t="s">
        <v>276</v>
      </c>
      <c r="F33" s="41">
        <v>4.8</v>
      </c>
      <c r="G33" s="253"/>
      <c r="H33" s="41">
        <f>F33*AO33</f>
        <v>0</v>
      </c>
      <c r="I33" s="41">
        <f>F33*AP33</f>
        <v>0</v>
      </c>
      <c r="J33" s="41">
        <f>F33*G33</f>
        <v>0</v>
      </c>
      <c r="K33" s="41">
        <v>0</v>
      </c>
      <c r="L33" s="41">
        <f>F33*K33</f>
        <v>0</v>
      </c>
      <c r="M33" s="42"/>
      <c r="N33" s="35"/>
      <c r="Z33" s="14">
        <f>IF(AQ33="5",BJ33,0)</f>
        <v>0</v>
      </c>
      <c r="AB33" s="14">
        <f>IF(AQ33="1",BH33,0)</f>
        <v>0</v>
      </c>
      <c r="AC33" s="14">
        <f>IF(AQ33="1",BI33,0)</f>
        <v>0</v>
      </c>
      <c r="AD33" s="14">
        <f>IF(AQ33="7",BH33,0)</f>
        <v>0</v>
      </c>
      <c r="AE33" s="14">
        <f>IF(AQ33="7",BI33,0)</f>
        <v>0</v>
      </c>
      <c r="AF33" s="14">
        <f>IF(AQ33="2",BH33,0)</f>
        <v>0</v>
      </c>
      <c r="AG33" s="14">
        <f>IF(AQ33="2",BI33,0)</f>
        <v>0</v>
      </c>
      <c r="AH33" s="14">
        <f>IF(AQ33="0",BJ33,0)</f>
        <v>0</v>
      </c>
      <c r="AI33" s="10"/>
      <c r="AJ33" s="7">
        <f>IF(AN33=0,J33,0)</f>
        <v>0</v>
      </c>
      <c r="AK33" s="7">
        <f>IF(AN33=15,J33,0)</f>
        <v>0</v>
      </c>
      <c r="AL33" s="7">
        <f>IF(AN33=21,J33,0)</f>
        <v>0</v>
      </c>
      <c r="AN33" s="14">
        <v>21</v>
      </c>
      <c r="AO33" s="14">
        <f>G33*0</f>
        <v>0</v>
      </c>
      <c r="AP33" s="14">
        <f>G33*(1-0)</f>
        <v>0</v>
      </c>
      <c r="AQ33" s="15" t="s">
        <v>6</v>
      </c>
      <c r="AV33" s="14">
        <f>AW33+AX33</f>
        <v>0</v>
      </c>
      <c r="AW33" s="14">
        <f>F33*AO33</f>
        <v>0</v>
      </c>
      <c r="AX33" s="14">
        <f>F33*AP33</f>
        <v>0</v>
      </c>
      <c r="AY33" s="17" t="s">
        <v>312</v>
      </c>
      <c r="AZ33" s="17" t="s">
        <v>328</v>
      </c>
      <c r="BA33" s="10" t="s">
        <v>337</v>
      </c>
      <c r="BC33" s="14">
        <f>AW33+AX33</f>
        <v>0</v>
      </c>
      <c r="BD33" s="14">
        <f>G33/(100-BE33)*100</f>
        <v>0</v>
      </c>
      <c r="BE33" s="14">
        <v>0</v>
      </c>
      <c r="BF33" s="14">
        <f>L33</f>
        <v>0</v>
      </c>
      <c r="BH33" s="7">
        <f>F33*AO33</f>
        <v>0</v>
      </c>
      <c r="BI33" s="7">
        <f>F33*AP33</f>
        <v>0</v>
      </c>
      <c r="BJ33" s="7">
        <f>F33*G33</f>
        <v>0</v>
      </c>
      <c r="BK33" s="7" t="s">
        <v>342</v>
      </c>
      <c r="BL33" s="14">
        <v>17</v>
      </c>
    </row>
    <row r="34" spans="1:47" ht="12.75">
      <c r="A34" s="36"/>
      <c r="B34" s="37"/>
      <c r="C34" s="37" t="s">
        <v>23</v>
      </c>
      <c r="D34" s="52" t="s">
        <v>194</v>
      </c>
      <c r="E34" s="36" t="s">
        <v>5</v>
      </c>
      <c r="F34" s="36" t="s">
        <v>5</v>
      </c>
      <c r="G34" s="254" t="s">
        <v>5</v>
      </c>
      <c r="H34" s="38">
        <f>SUM(H35:H36)</f>
        <v>0</v>
      </c>
      <c r="I34" s="38">
        <f>SUM(I35:I36)</f>
        <v>0</v>
      </c>
      <c r="J34" s="38">
        <f>SUM(J35:J36)</f>
        <v>0</v>
      </c>
      <c r="K34" s="39"/>
      <c r="L34" s="38">
        <f>SUM(L35:L36)</f>
        <v>0</v>
      </c>
      <c r="M34" s="39"/>
      <c r="N34" s="35"/>
      <c r="AI34" s="10"/>
      <c r="AS34" s="19">
        <f>SUM(AJ35:AJ36)</f>
        <v>0</v>
      </c>
      <c r="AT34" s="19">
        <f>SUM(AK35:AK36)</f>
        <v>0</v>
      </c>
      <c r="AU34" s="19">
        <f>SUM(AL35:AL36)</f>
        <v>0</v>
      </c>
    </row>
    <row r="35" spans="1:64" ht="12.75">
      <c r="A35" s="40" t="s">
        <v>25</v>
      </c>
      <c r="B35" s="40"/>
      <c r="C35" s="40" t="s">
        <v>104</v>
      </c>
      <c r="D35" s="53" t="s">
        <v>195</v>
      </c>
      <c r="E35" s="40" t="s">
        <v>278</v>
      </c>
      <c r="F35" s="41">
        <v>173.28</v>
      </c>
      <c r="G35" s="253"/>
      <c r="H35" s="41">
        <f>F35*AO35</f>
        <v>0</v>
      </c>
      <c r="I35" s="41">
        <f>F35*AP35</f>
        <v>0</v>
      </c>
      <c r="J35" s="41">
        <f>F35*G35</f>
        <v>0</v>
      </c>
      <c r="K35" s="41">
        <v>0</v>
      </c>
      <c r="L35" s="41">
        <f>F35*K35</f>
        <v>0</v>
      </c>
      <c r="M35" s="42"/>
      <c r="N35" s="35"/>
      <c r="Z35" s="14">
        <f>IF(AQ35="5",BJ35,0)</f>
        <v>0</v>
      </c>
      <c r="AB35" s="14">
        <f>IF(AQ35="1",BH35,0)</f>
        <v>0</v>
      </c>
      <c r="AC35" s="14">
        <f>IF(AQ35="1",BI35,0)</f>
        <v>0</v>
      </c>
      <c r="AD35" s="14">
        <f>IF(AQ35="7",BH35,0)</f>
        <v>0</v>
      </c>
      <c r="AE35" s="14">
        <f>IF(AQ35="7",BI35,0)</f>
        <v>0</v>
      </c>
      <c r="AF35" s="14">
        <f>IF(AQ35="2",BH35,0)</f>
        <v>0</v>
      </c>
      <c r="AG35" s="14">
        <f>IF(AQ35="2",BI35,0)</f>
        <v>0</v>
      </c>
      <c r="AH35" s="14">
        <f>IF(AQ35="0",BJ35,0)</f>
        <v>0</v>
      </c>
      <c r="AI35" s="10"/>
      <c r="AJ35" s="7">
        <f>IF(AN35=0,J35,0)</f>
        <v>0</v>
      </c>
      <c r="AK35" s="7">
        <f>IF(AN35=15,J35,0)</f>
        <v>0</v>
      </c>
      <c r="AL35" s="7">
        <f>IF(AN35=21,J35,0)</f>
        <v>0</v>
      </c>
      <c r="AN35" s="14">
        <v>21</v>
      </c>
      <c r="AO35" s="14">
        <f>G35*0</f>
        <v>0</v>
      </c>
      <c r="AP35" s="14">
        <f>G35*(1-0)</f>
        <v>0</v>
      </c>
      <c r="AQ35" s="15" t="s">
        <v>6</v>
      </c>
      <c r="AV35" s="14">
        <f>AW35+AX35</f>
        <v>0</v>
      </c>
      <c r="AW35" s="14">
        <f>F35*AO35</f>
        <v>0</v>
      </c>
      <c r="AX35" s="14">
        <f>F35*AP35</f>
        <v>0</v>
      </c>
      <c r="AY35" s="17" t="s">
        <v>313</v>
      </c>
      <c r="AZ35" s="17" t="s">
        <v>328</v>
      </c>
      <c r="BA35" s="10" t="s">
        <v>337</v>
      </c>
      <c r="BC35" s="14">
        <f>AW35+AX35</f>
        <v>0</v>
      </c>
      <c r="BD35" s="14">
        <f>G35/(100-BE35)*100</f>
        <v>0</v>
      </c>
      <c r="BE35" s="14">
        <v>0</v>
      </c>
      <c r="BF35" s="14">
        <f>L35</f>
        <v>0</v>
      </c>
      <c r="BH35" s="7">
        <f>F35*AO35</f>
        <v>0</v>
      </c>
      <c r="BI35" s="7">
        <f>F35*AP35</f>
        <v>0</v>
      </c>
      <c r="BJ35" s="7">
        <f>F35*G35</f>
        <v>0</v>
      </c>
      <c r="BK35" s="7" t="s">
        <v>342</v>
      </c>
      <c r="BL35" s="14">
        <v>18</v>
      </c>
    </row>
    <row r="36" spans="1:64" ht="12.75">
      <c r="A36" s="40" t="s">
        <v>26</v>
      </c>
      <c r="B36" s="40"/>
      <c r="C36" s="40" t="s">
        <v>105</v>
      </c>
      <c r="D36" s="53" t="s">
        <v>196</v>
      </c>
      <c r="E36" s="40" t="s">
        <v>278</v>
      </c>
      <c r="F36" s="41">
        <v>67.44</v>
      </c>
      <c r="G36" s="253"/>
      <c r="H36" s="41">
        <f>F36*AO36</f>
        <v>0</v>
      </c>
      <c r="I36" s="41">
        <f>F36*AP36</f>
        <v>0</v>
      </c>
      <c r="J36" s="41">
        <f>F36*G36</f>
        <v>0</v>
      </c>
      <c r="K36" s="41">
        <v>0</v>
      </c>
      <c r="L36" s="41">
        <f>F36*K36</f>
        <v>0</v>
      </c>
      <c r="M36" s="42"/>
      <c r="N36" s="35"/>
      <c r="Z36" s="14">
        <f>IF(AQ36="5",BJ36,0)</f>
        <v>0</v>
      </c>
      <c r="AB36" s="14">
        <f>IF(AQ36="1",BH36,0)</f>
        <v>0</v>
      </c>
      <c r="AC36" s="14">
        <f>IF(AQ36="1",BI36,0)</f>
        <v>0</v>
      </c>
      <c r="AD36" s="14">
        <f>IF(AQ36="7",BH36,0)</f>
        <v>0</v>
      </c>
      <c r="AE36" s="14">
        <f>IF(AQ36="7",BI36,0)</f>
        <v>0</v>
      </c>
      <c r="AF36" s="14">
        <f>IF(AQ36="2",BH36,0)</f>
        <v>0</v>
      </c>
      <c r="AG36" s="14">
        <f>IF(AQ36="2",BI36,0)</f>
        <v>0</v>
      </c>
      <c r="AH36" s="14">
        <f>IF(AQ36="0",BJ36,0)</f>
        <v>0</v>
      </c>
      <c r="AI36" s="10"/>
      <c r="AJ36" s="7">
        <f>IF(AN36=0,J36,0)</f>
        <v>0</v>
      </c>
      <c r="AK36" s="7">
        <f>IF(AN36=15,J36,0)</f>
        <v>0</v>
      </c>
      <c r="AL36" s="7">
        <f>IF(AN36=21,J36,0)</f>
        <v>0</v>
      </c>
      <c r="AN36" s="14">
        <v>21</v>
      </c>
      <c r="AO36" s="14">
        <f>G36*0</f>
        <v>0</v>
      </c>
      <c r="AP36" s="14">
        <f>G36*(1-0)</f>
        <v>0</v>
      </c>
      <c r="AQ36" s="15" t="s">
        <v>6</v>
      </c>
      <c r="AV36" s="14">
        <f>AW36+AX36</f>
        <v>0</v>
      </c>
      <c r="AW36" s="14">
        <f>F36*AO36</f>
        <v>0</v>
      </c>
      <c r="AX36" s="14">
        <f>F36*AP36</f>
        <v>0</v>
      </c>
      <c r="AY36" s="17" t="s">
        <v>313</v>
      </c>
      <c r="AZ36" s="17" t="s">
        <v>328</v>
      </c>
      <c r="BA36" s="10" t="s">
        <v>337</v>
      </c>
      <c r="BC36" s="14">
        <f>AW36+AX36</f>
        <v>0</v>
      </c>
      <c r="BD36" s="14">
        <f>G36/(100-BE36)*100</f>
        <v>0</v>
      </c>
      <c r="BE36" s="14">
        <v>0</v>
      </c>
      <c r="BF36" s="14">
        <f>L36</f>
        <v>0</v>
      </c>
      <c r="BH36" s="7">
        <f>F36*AO36</f>
        <v>0</v>
      </c>
      <c r="BI36" s="7">
        <f>F36*AP36</f>
        <v>0</v>
      </c>
      <c r="BJ36" s="7">
        <f>F36*G36</f>
        <v>0</v>
      </c>
      <c r="BK36" s="7" t="s">
        <v>342</v>
      </c>
      <c r="BL36" s="14">
        <v>18</v>
      </c>
    </row>
    <row r="37" spans="1:47" ht="12.75">
      <c r="A37" s="36"/>
      <c r="B37" s="37"/>
      <c r="C37" s="37" t="s">
        <v>26</v>
      </c>
      <c r="D37" s="52" t="s">
        <v>197</v>
      </c>
      <c r="E37" s="36" t="s">
        <v>5</v>
      </c>
      <c r="F37" s="36" t="s">
        <v>5</v>
      </c>
      <c r="G37" s="254" t="s">
        <v>5</v>
      </c>
      <c r="H37" s="38">
        <f>SUM(H38:H38)</f>
        <v>0</v>
      </c>
      <c r="I37" s="38">
        <f>SUM(I38:I38)</f>
        <v>0</v>
      </c>
      <c r="J37" s="38">
        <f>SUM(J38:J38)</f>
        <v>0</v>
      </c>
      <c r="K37" s="39"/>
      <c r="L37" s="38">
        <f>SUM(L38:L38)</f>
        <v>9.1131082</v>
      </c>
      <c r="M37" s="39"/>
      <c r="N37" s="35"/>
      <c r="AI37" s="10"/>
      <c r="AS37" s="19">
        <f>SUM(AJ38:AJ38)</f>
        <v>0</v>
      </c>
      <c r="AT37" s="19">
        <f>SUM(AK38:AK38)</f>
        <v>0</v>
      </c>
      <c r="AU37" s="19">
        <f>SUM(AL38:AL38)</f>
        <v>0</v>
      </c>
    </row>
    <row r="38" spans="1:64" ht="12.75">
      <c r="A38" s="40" t="s">
        <v>27</v>
      </c>
      <c r="B38" s="40"/>
      <c r="C38" s="40" t="s">
        <v>106</v>
      </c>
      <c r="D38" s="53" t="s">
        <v>198</v>
      </c>
      <c r="E38" s="40" t="s">
        <v>279</v>
      </c>
      <c r="F38" s="41">
        <v>20.86</v>
      </c>
      <c r="G38" s="253"/>
      <c r="H38" s="41">
        <f>F38*AO38</f>
        <v>0</v>
      </c>
      <c r="I38" s="41">
        <f>F38*AP38</f>
        <v>0</v>
      </c>
      <c r="J38" s="41">
        <f>F38*G38</f>
        <v>0</v>
      </c>
      <c r="K38" s="41">
        <v>0.43687</v>
      </c>
      <c r="L38" s="41">
        <f>F38*K38</f>
        <v>9.1131082</v>
      </c>
      <c r="M38" s="42"/>
      <c r="N38" s="35"/>
      <c r="Z38" s="14">
        <f>IF(AQ38="5",BJ38,0)</f>
        <v>0</v>
      </c>
      <c r="AB38" s="14">
        <f>IF(AQ38="1",BH38,0)</f>
        <v>0</v>
      </c>
      <c r="AC38" s="14">
        <f>IF(AQ38="1",BI38,0)</f>
        <v>0</v>
      </c>
      <c r="AD38" s="14">
        <f>IF(AQ38="7",BH38,0)</f>
        <v>0</v>
      </c>
      <c r="AE38" s="14">
        <f>IF(AQ38="7",BI38,0)</f>
        <v>0</v>
      </c>
      <c r="AF38" s="14">
        <f>IF(AQ38="2",BH38,0)</f>
        <v>0</v>
      </c>
      <c r="AG38" s="14">
        <f>IF(AQ38="2",BI38,0)</f>
        <v>0</v>
      </c>
      <c r="AH38" s="14">
        <f>IF(AQ38="0",BJ38,0)</f>
        <v>0</v>
      </c>
      <c r="AI38" s="10"/>
      <c r="AJ38" s="7">
        <f>IF(AN38=0,J38,0)</f>
        <v>0</v>
      </c>
      <c r="AK38" s="7">
        <f>IF(AN38=15,J38,0)</f>
        <v>0</v>
      </c>
      <c r="AL38" s="7">
        <f>IF(AN38=21,J38,0)</f>
        <v>0</v>
      </c>
      <c r="AN38" s="14">
        <v>21</v>
      </c>
      <c r="AO38" s="14">
        <f>G38*0.513583563376978</f>
        <v>0</v>
      </c>
      <c r="AP38" s="14">
        <f>G38*(1-0.513583563376978)</f>
        <v>0</v>
      </c>
      <c r="AQ38" s="15" t="s">
        <v>6</v>
      </c>
      <c r="AV38" s="14">
        <f>AW38+AX38</f>
        <v>0</v>
      </c>
      <c r="AW38" s="14">
        <f>F38*AO38</f>
        <v>0</v>
      </c>
      <c r="AX38" s="14">
        <f>F38*AP38</f>
        <v>0</v>
      </c>
      <c r="AY38" s="17" t="s">
        <v>314</v>
      </c>
      <c r="AZ38" s="17" t="s">
        <v>329</v>
      </c>
      <c r="BA38" s="10" t="s">
        <v>337</v>
      </c>
      <c r="BC38" s="14">
        <f>AW38+AX38</f>
        <v>0</v>
      </c>
      <c r="BD38" s="14">
        <f>G38/(100-BE38)*100</f>
        <v>0</v>
      </c>
      <c r="BE38" s="14">
        <v>0</v>
      </c>
      <c r="BF38" s="14">
        <f>L38</f>
        <v>9.1131082</v>
      </c>
      <c r="BH38" s="7">
        <f>F38*AO38</f>
        <v>0</v>
      </c>
      <c r="BI38" s="7">
        <f>F38*AP38</f>
        <v>0</v>
      </c>
      <c r="BJ38" s="7">
        <f>F38*G38</f>
        <v>0</v>
      </c>
      <c r="BK38" s="7" t="s">
        <v>342</v>
      </c>
      <c r="BL38" s="14">
        <v>21</v>
      </c>
    </row>
    <row r="39" spans="1:47" ht="12.75">
      <c r="A39" s="36"/>
      <c r="B39" s="37"/>
      <c r="C39" s="37" t="s">
        <v>32</v>
      </c>
      <c r="D39" s="52" t="s">
        <v>199</v>
      </c>
      <c r="E39" s="36" t="s">
        <v>5</v>
      </c>
      <c r="F39" s="36" t="s">
        <v>5</v>
      </c>
      <c r="G39" s="254" t="s">
        <v>5</v>
      </c>
      <c r="H39" s="38">
        <f>SUM(H40:H48)</f>
        <v>0</v>
      </c>
      <c r="I39" s="38">
        <f>SUM(I40:I48)</f>
        <v>0</v>
      </c>
      <c r="J39" s="38">
        <f>SUM(J40:J48)</f>
        <v>0</v>
      </c>
      <c r="K39" s="39"/>
      <c r="L39" s="38">
        <f>SUM(L40:L48)</f>
        <v>100.33610137599999</v>
      </c>
      <c r="M39" s="39"/>
      <c r="N39" s="35"/>
      <c r="AI39" s="10"/>
      <c r="AS39" s="19">
        <f>SUM(AJ40:AJ48)</f>
        <v>0</v>
      </c>
      <c r="AT39" s="19">
        <f>SUM(AK40:AK48)</f>
        <v>0</v>
      </c>
      <c r="AU39" s="19">
        <f>SUM(AL40:AL48)</f>
        <v>0</v>
      </c>
    </row>
    <row r="40" spans="1:64" ht="12.75">
      <c r="A40" s="43" t="s">
        <v>28</v>
      </c>
      <c r="B40" s="43"/>
      <c r="C40" s="43" t="s">
        <v>107</v>
      </c>
      <c r="D40" s="54" t="s">
        <v>200</v>
      </c>
      <c r="E40" s="43" t="s">
        <v>276</v>
      </c>
      <c r="F40" s="44">
        <v>9.1044</v>
      </c>
      <c r="G40" s="253"/>
      <c r="H40" s="44">
        <f aca="true" t="shared" si="52" ref="H40:H48">F40*AO40</f>
        <v>0</v>
      </c>
      <c r="I40" s="44">
        <f aca="true" t="shared" si="53" ref="I40:I48">F40*AP40</f>
        <v>0</v>
      </c>
      <c r="J40" s="44">
        <f aca="true" t="shared" si="54" ref="J40:J48">F40*G40</f>
        <v>0</v>
      </c>
      <c r="K40" s="44">
        <v>2.525</v>
      </c>
      <c r="L40" s="44">
        <f aca="true" t="shared" si="55" ref="L40:L48">F40*K40</f>
        <v>22.988609999999998</v>
      </c>
      <c r="M40" s="45"/>
      <c r="N40" s="35"/>
      <c r="Z40" s="14">
        <f aca="true" t="shared" si="56" ref="Z40:Z48">IF(AQ40="5",BJ40,0)</f>
        <v>0</v>
      </c>
      <c r="AB40" s="14">
        <f aca="true" t="shared" si="57" ref="AB40:AB48">IF(AQ40="1",BH40,0)</f>
        <v>0</v>
      </c>
      <c r="AC40" s="14">
        <f aca="true" t="shared" si="58" ref="AC40:AC48">IF(AQ40="1",BI40,0)</f>
        <v>0</v>
      </c>
      <c r="AD40" s="14">
        <f aca="true" t="shared" si="59" ref="AD40:AD48">IF(AQ40="7",BH40,0)</f>
        <v>0</v>
      </c>
      <c r="AE40" s="14">
        <f aca="true" t="shared" si="60" ref="AE40:AE48">IF(AQ40="7",BI40,0)</f>
        <v>0</v>
      </c>
      <c r="AF40" s="14">
        <f aca="true" t="shared" si="61" ref="AF40:AF48">IF(AQ40="2",BH40,0)</f>
        <v>0</v>
      </c>
      <c r="AG40" s="14">
        <f aca="true" t="shared" si="62" ref="AG40:AG48">IF(AQ40="2",BI40,0)</f>
        <v>0</v>
      </c>
      <c r="AH40" s="14">
        <f aca="true" t="shared" si="63" ref="AH40:AH48">IF(AQ40="0",BJ40,0)</f>
        <v>0</v>
      </c>
      <c r="AI40" s="10"/>
      <c r="AJ40" s="7">
        <f aca="true" t="shared" si="64" ref="AJ40:AJ48">IF(AN40=0,J40,0)</f>
        <v>0</v>
      </c>
      <c r="AK40" s="7">
        <f aca="true" t="shared" si="65" ref="AK40:AK48">IF(AN40=15,J40,0)</f>
        <v>0</v>
      </c>
      <c r="AL40" s="7">
        <f aca="true" t="shared" si="66" ref="AL40:AL48">IF(AN40=21,J40,0)</f>
        <v>0</v>
      </c>
      <c r="AN40" s="14">
        <v>21</v>
      </c>
      <c r="AO40" s="14">
        <f>G40*0.897213609080907</f>
        <v>0</v>
      </c>
      <c r="AP40" s="14">
        <f>G40*(1-0.897213609080907)</f>
        <v>0</v>
      </c>
      <c r="AQ40" s="15" t="s">
        <v>6</v>
      </c>
      <c r="AV40" s="14">
        <f aca="true" t="shared" si="67" ref="AV40:AV48">AW40+AX40</f>
        <v>0</v>
      </c>
      <c r="AW40" s="14">
        <f aca="true" t="shared" si="68" ref="AW40:AW48">F40*AO40</f>
        <v>0</v>
      </c>
      <c r="AX40" s="14">
        <f aca="true" t="shared" si="69" ref="AX40:AX48">F40*AP40</f>
        <v>0</v>
      </c>
      <c r="AY40" s="17" t="s">
        <v>315</v>
      </c>
      <c r="AZ40" s="17" t="s">
        <v>329</v>
      </c>
      <c r="BA40" s="10" t="s">
        <v>337</v>
      </c>
      <c r="BC40" s="14">
        <f aca="true" t="shared" si="70" ref="BC40:BC48">AW40+AX40</f>
        <v>0</v>
      </c>
      <c r="BD40" s="14">
        <f aca="true" t="shared" si="71" ref="BD40:BD48">G40/(100-BE40)*100</f>
        <v>0</v>
      </c>
      <c r="BE40" s="14">
        <v>0</v>
      </c>
      <c r="BF40" s="14">
        <f aca="true" t="shared" si="72" ref="BF40:BF48">L40</f>
        <v>22.988609999999998</v>
      </c>
      <c r="BH40" s="7">
        <f aca="true" t="shared" si="73" ref="BH40:BH48">F40*AO40</f>
        <v>0</v>
      </c>
      <c r="BI40" s="7">
        <f aca="true" t="shared" si="74" ref="BI40:BI48">F40*AP40</f>
        <v>0</v>
      </c>
      <c r="BJ40" s="7">
        <f aca="true" t="shared" si="75" ref="BJ40:BJ48">F40*G40</f>
        <v>0</v>
      </c>
      <c r="BK40" s="7" t="s">
        <v>342</v>
      </c>
      <c r="BL40" s="14">
        <v>27</v>
      </c>
    </row>
    <row r="41" spans="1:64" ht="12.75">
      <c r="A41" s="40" t="s">
        <v>29</v>
      </c>
      <c r="B41" s="40"/>
      <c r="C41" s="40" t="s">
        <v>107</v>
      </c>
      <c r="D41" s="53" t="s">
        <v>201</v>
      </c>
      <c r="E41" s="40" t="s">
        <v>276</v>
      </c>
      <c r="F41" s="41">
        <v>0.0434</v>
      </c>
      <c r="G41" s="253"/>
      <c r="H41" s="41">
        <f t="shared" si="52"/>
        <v>0</v>
      </c>
      <c r="I41" s="41">
        <f t="shared" si="53"/>
        <v>0</v>
      </c>
      <c r="J41" s="41">
        <f t="shared" si="54"/>
        <v>0</v>
      </c>
      <c r="K41" s="41">
        <v>2.525</v>
      </c>
      <c r="L41" s="41">
        <f t="shared" si="55"/>
        <v>0.109585</v>
      </c>
      <c r="M41" s="42"/>
      <c r="N41" s="35"/>
      <c r="Z41" s="14">
        <f t="shared" si="56"/>
        <v>0</v>
      </c>
      <c r="AB41" s="14">
        <f t="shared" si="57"/>
        <v>0</v>
      </c>
      <c r="AC41" s="14">
        <f t="shared" si="58"/>
        <v>0</v>
      </c>
      <c r="AD41" s="14">
        <f t="shared" si="59"/>
        <v>0</v>
      </c>
      <c r="AE41" s="14">
        <f t="shared" si="60"/>
        <v>0</v>
      </c>
      <c r="AF41" s="14">
        <f t="shared" si="61"/>
        <v>0</v>
      </c>
      <c r="AG41" s="14">
        <f t="shared" si="62"/>
        <v>0</v>
      </c>
      <c r="AH41" s="14">
        <f t="shared" si="63"/>
        <v>0</v>
      </c>
      <c r="AI41" s="10"/>
      <c r="AJ41" s="7">
        <f t="shared" si="64"/>
        <v>0</v>
      </c>
      <c r="AK41" s="7">
        <f t="shared" si="65"/>
        <v>0</v>
      </c>
      <c r="AL41" s="7">
        <f t="shared" si="66"/>
        <v>0</v>
      </c>
      <c r="AN41" s="14">
        <v>21</v>
      </c>
      <c r="AO41" s="14">
        <f>G41*0.897220043763676</f>
        <v>0</v>
      </c>
      <c r="AP41" s="14">
        <f>G41*(1-0.897220043763676)</f>
        <v>0</v>
      </c>
      <c r="AQ41" s="15" t="s">
        <v>6</v>
      </c>
      <c r="AV41" s="14">
        <f t="shared" si="67"/>
        <v>0</v>
      </c>
      <c r="AW41" s="14">
        <f t="shared" si="68"/>
        <v>0</v>
      </c>
      <c r="AX41" s="14">
        <f t="shared" si="69"/>
        <v>0</v>
      </c>
      <c r="AY41" s="17" t="s">
        <v>315</v>
      </c>
      <c r="AZ41" s="17" t="s">
        <v>329</v>
      </c>
      <c r="BA41" s="10" t="s">
        <v>337</v>
      </c>
      <c r="BC41" s="14">
        <f t="shared" si="70"/>
        <v>0</v>
      </c>
      <c r="BD41" s="14">
        <f t="shared" si="71"/>
        <v>0</v>
      </c>
      <c r="BE41" s="14">
        <v>0</v>
      </c>
      <c r="BF41" s="14">
        <f t="shared" si="72"/>
        <v>0.109585</v>
      </c>
      <c r="BH41" s="7">
        <f t="shared" si="73"/>
        <v>0</v>
      </c>
      <c r="BI41" s="7">
        <f t="shared" si="74"/>
        <v>0</v>
      </c>
      <c r="BJ41" s="7">
        <f t="shared" si="75"/>
        <v>0</v>
      </c>
      <c r="BK41" s="7" t="s">
        <v>342</v>
      </c>
      <c r="BL41" s="14">
        <v>27</v>
      </c>
    </row>
    <row r="42" spans="1:64" ht="12.75">
      <c r="A42" s="40" t="s">
        <v>30</v>
      </c>
      <c r="B42" s="40"/>
      <c r="C42" s="40" t="s">
        <v>108</v>
      </c>
      <c r="D42" s="53" t="s">
        <v>202</v>
      </c>
      <c r="E42" s="40" t="s">
        <v>278</v>
      </c>
      <c r="F42" s="41">
        <v>15.7264</v>
      </c>
      <c r="G42" s="253"/>
      <c r="H42" s="41">
        <f t="shared" si="52"/>
        <v>0</v>
      </c>
      <c r="I42" s="41">
        <f t="shared" si="53"/>
        <v>0</v>
      </c>
      <c r="J42" s="41">
        <f t="shared" si="54"/>
        <v>0</v>
      </c>
      <c r="K42" s="41">
        <v>0.03634</v>
      </c>
      <c r="L42" s="41">
        <f t="shared" si="55"/>
        <v>0.571497376</v>
      </c>
      <c r="M42" s="42"/>
      <c r="N42" s="35"/>
      <c r="Z42" s="14">
        <f t="shared" si="56"/>
        <v>0</v>
      </c>
      <c r="AB42" s="14">
        <f t="shared" si="57"/>
        <v>0</v>
      </c>
      <c r="AC42" s="14">
        <f t="shared" si="58"/>
        <v>0</v>
      </c>
      <c r="AD42" s="14">
        <f t="shared" si="59"/>
        <v>0</v>
      </c>
      <c r="AE42" s="14">
        <f t="shared" si="60"/>
        <v>0</v>
      </c>
      <c r="AF42" s="14">
        <f t="shared" si="61"/>
        <v>0</v>
      </c>
      <c r="AG42" s="14">
        <f t="shared" si="62"/>
        <v>0</v>
      </c>
      <c r="AH42" s="14">
        <f t="shared" si="63"/>
        <v>0</v>
      </c>
      <c r="AI42" s="10"/>
      <c r="AJ42" s="7">
        <f t="shared" si="64"/>
        <v>0</v>
      </c>
      <c r="AK42" s="7">
        <f t="shared" si="65"/>
        <v>0</v>
      </c>
      <c r="AL42" s="7">
        <f t="shared" si="66"/>
        <v>0</v>
      </c>
      <c r="AN42" s="14">
        <v>21</v>
      </c>
      <c r="AO42" s="14">
        <f>G42*0.604187043551067</f>
        <v>0</v>
      </c>
      <c r="AP42" s="14">
        <f>G42*(1-0.604187043551067)</f>
        <v>0</v>
      </c>
      <c r="AQ42" s="15" t="s">
        <v>6</v>
      </c>
      <c r="AV42" s="14">
        <f t="shared" si="67"/>
        <v>0</v>
      </c>
      <c r="AW42" s="14">
        <f t="shared" si="68"/>
        <v>0</v>
      </c>
      <c r="AX42" s="14">
        <f t="shared" si="69"/>
        <v>0</v>
      </c>
      <c r="AY42" s="17" t="s">
        <v>315</v>
      </c>
      <c r="AZ42" s="17" t="s">
        <v>329</v>
      </c>
      <c r="BA42" s="10" t="s">
        <v>337</v>
      </c>
      <c r="BC42" s="14">
        <f t="shared" si="70"/>
        <v>0</v>
      </c>
      <c r="BD42" s="14">
        <f t="shared" si="71"/>
        <v>0</v>
      </c>
      <c r="BE42" s="14">
        <v>0</v>
      </c>
      <c r="BF42" s="14">
        <f t="shared" si="72"/>
        <v>0.571497376</v>
      </c>
      <c r="BH42" s="7">
        <f t="shared" si="73"/>
        <v>0</v>
      </c>
      <c r="BI42" s="7">
        <f t="shared" si="74"/>
        <v>0</v>
      </c>
      <c r="BJ42" s="7">
        <f t="shared" si="75"/>
        <v>0</v>
      </c>
      <c r="BK42" s="7" t="s">
        <v>342</v>
      </c>
      <c r="BL42" s="14">
        <v>27</v>
      </c>
    </row>
    <row r="43" spans="1:64" ht="12.75">
      <c r="A43" s="40" t="s">
        <v>31</v>
      </c>
      <c r="B43" s="40"/>
      <c r="C43" s="40" t="s">
        <v>109</v>
      </c>
      <c r="D43" s="53" t="s">
        <v>203</v>
      </c>
      <c r="E43" s="40" t="s">
        <v>278</v>
      </c>
      <c r="F43" s="41">
        <v>15.7264</v>
      </c>
      <c r="G43" s="253"/>
      <c r="H43" s="41">
        <f t="shared" si="52"/>
        <v>0</v>
      </c>
      <c r="I43" s="41">
        <f t="shared" si="53"/>
        <v>0</v>
      </c>
      <c r="J43" s="41">
        <f t="shared" si="54"/>
        <v>0</v>
      </c>
      <c r="K43" s="41">
        <v>0</v>
      </c>
      <c r="L43" s="41">
        <f t="shared" si="55"/>
        <v>0</v>
      </c>
      <c r="M43" s="42"/>
      <c r="N43" s="35"/>
      <c r="Z43" s="14">
        <f t="shared" si="56"/>
        <v>0</v>
      </c>
      <c r="AB43" s="14">
        <f t="shared" si="57"/>
        <v>0</v>
      </c>
      <c r="AC43" s="14">
        <f t="shared" si="58"/>
        <v>0</v>
      </c>
      <c r="AD43" s="14">
        <f t="shared" si="59"/>
        <v>0</v>
      </c>
      <c r="AE43" s="14">
        <f t="shared" si="60"/>
        <v>0</v>
      </c>
      <c r="AF43" s="14">
        <f t="shared" si="61"/>
        <v>0</v>
      </c>
      <c r="AG43" s="14">
        <f t="shared" si="62"/>
        <v>0</v>
      </c>
      <c r="AH43" s="14">
        <f t="shared" si="63"/>
        <v>0</v>
      </c>
      <c r="AI43" s="10"/>
      <c r="AJ43" s="7">
        <f t="shared" si="64"/>
        <v>0</v>
      </c>
      <c r="AK43" s="7">
        <f t="shared" si="65"/>
        <v>0</v>
      </c>
      <c r="AL43" s="7">
        <f t="shared" si="66"/>
        <v>0</v>
      </c>
      <c r="AN43" s="14">
        <v>21</v>
      </c>
      <c r="AO43" s="14">
        <f>G43*0</f>
        <v>0</v>
      </c>
      <c r="AP43" s="14">
        <f>G43*(1-0)</f>
        <v>0</v>
      </c>
      <c r="AQ43" s="15" t="s">
        <v>6</v>
      </c>
      <c r="AV43" s="14">
        <f t="shared" si="67"/>
        <v>0</v>
      </c>
      <c r="AW43" s="14">
        <f t="shared" si="68"/>
        <v>0</v>
      </c>
      <c r="AX43" s="14">
        <f t="shared" si="69"/>
        <v>0</v>
      </c>
      <c r="AY43" s="17" t="s">
        <v>315</v>
      </c>
      <c r="AZ43" s="17" t="s">
        <v>329</v>
      </c>
      <c r="BA43" s="10" t="s">
        <v>337</v>
      </c>
      <c r="BC43" s="14">
        <f t="shared" si="70"/>
        <v>0</v>
      </c>
      <c r="BD43" s="14">
        <f t="shared" si="71"/>
        <v>0</v>
      </c>
      <c r="BE43" s="14">
        <v>0</v>
      </c>
      <c r="BF43" s="14">
        <f t="shared" si="72"/>
        <v>0</v>
      </c>
      <c r="BH43" s="7">
        <f t="shared" si="73"/>
        <v>0</v>
      </c>
      <c r="BI43" s="7">
        <f t="shared" si="74"/>
        <v>0</v>
      </c>
      <c r="BJ43" s="7">
        <f t="shared" si="75"/>
        <v>0</v>
      </c>
      <c r="BK43" s="7" t="s">
        <v>342</v>
      </c>
      <c r="BL43" s="14">
        <v>27</v>
      </c>
    </row>
    <row r="44" spans="1:64" ht="12.75">
      <c r="A44" s="43" t="s">
        <v>32</v>
      </c>
      <c r="B44" s="43"/>
      <c r="C44" s="43" t="s">
        <v>110</v>
      </c>
      <c r="D44" s="54" t="s">
        <v>204</v>
      </c>
      <c r="E44" s="43" t="s">
        <v>280</v>
      </c>
      <c r="F44" s="44">
        <v>25</v>
      </c>
      <c r="G44" s="253"/>
      <c r="H44" s="44">
        <f t="shared" si="52"/>
        <v>0</v>
      </c>
      <c r="I44" s="44">
        <f t="shared" si="53"/>
        <v>0</v>
      </c>
      <c r="J44" s="44">
        <f t="shared" si="54"/>
        <v>0</v>
      </c>
      <c r="K44" s="44">
        <v>0.00115</v>
      </c>
      <c r="L44" s="44">
        <f t="shared" si="55"/>
        <v>0.028749999999999998</v>
      </c>
      <c r="M44" s="45"/>
      <c r="N44" s="35"/>
      <c r="Z44" s="14">
        <f t="shared" si="56"/>
        <v>0</v>
      </c>
      <c r="AB44" s="14">
        <f t="shared" si="57"/>
        <v>0</v>
      </c>
      <c r="AC44" s="14">
        <f t="shared" si="58"/>
        <v>0</v>
      </c>
      <c r="AD44" s="14">
        <f t="shared" si="59"/>
        <v>0</v>
      </c>
      <c r="AE44" s="14">
        <f t="shared" si="60"/>
        <v>0</v>
      </c>
      <c r="AF44" s="14">
        <f t="shared" si="61"/>
        <v>0</v>
      </c>
      <c r="AG44" s="14">
        <f t="shared" si="62"/>
        <v>0</v>
      </c>
      <c r="AH44" s="14">
        <f t="shared" si="63"/>
        <v>0</v>
      </c>
      <c r="AI44" s="10"/>
      <c r="AJ44" s="7">
        <f t="shared" si="64"/>
        <v>0</v>
      </c>
      <c r="AK44" s="7">
        <f t="shared" si="65"/>
        <v>0</v>
      </c>
      <c r="AL44" s="7">
        <f t="shared" si="66"/>
        <v>0</v>
      </c>
      <c r="AN44" s="14">
        <v>21</v>
      </c>
      <c r="AO44" s="14">
        <f>G44*0.0706284051048586</f>
        <v>0</v>
      </c>
      <c r="AP44" s="14">
        <f>G44*(1-0.0706284051048586)</f>
        <v>0</v>
      </c>
      <c r="AQ44" s="15" t="s">
        <v>6</v>
      </c>
      <c r="AV44" s="14">
        <f t="shared" si="67"/>
        <v>0</v>
      </c>
      <c r="AW44" s="14">
        <f t="shared" si="68"/>
        <v>0</v>
      </c>
      <c r="AX44" s="14">
        <f t="shared" si="69"/>
        <v>0</v>
      </c>
      <c r="AY44" s="17" t="s">
        <v>315</v>
      </c>
      <c r="AZ44" s="17" t="s">
        <v>329</v>
      </c>
      <c r="BA44" s="10" t="s">
        <v>337</v>
      </c>
      <c r="BC44" s="14">
        <f t="shared" si="70"/>
        <v>0</v>
      </c>
      <c r="BD44" s="14">
        <f t="shared" si="71"/>
        <v>0</v>
      </c>
      <c r="BE44" s="14">
        <v>0</v>
      </c>
      <c r="BF44" s="14">
        <f t="shared" si="72"/>
        <v>0.028749999999999998</v>
      </c>
      <c r="BH44" s="7">
        <f t="shared" si="73"/>
        <v>0</v>
      </c>
      <c r="BI44" s="7">
        <f t="shared" si="74"/>
        <v>0</v>
      </c>
      <c r="BJ44" s="7">
        <f t="shared" si="75"/>
        <v>0</v>
      </c>
      <c r="BK44" s="7" t="s">
        <v>342</v>
      </c>
      <c r="BL44" s="14">
        <v>27</v>
      </c>
    </row>
    <row r="45" spans="1:64" ht="12.75">
      <c r="A45" s="43" t="s">
        <v>33</v>
      </c>
      <c r="B45" s="43"/>
      <c r="C45" s="43" t="s">
        <v>107</v>
      </c>
      <c r="D45" s="54" t="s">
        <v>205</v>
      </c>
      <c r="E45" s="43" t="s">
        <v>276</v>
      </c>
      <c r="F45" s="44">
        <v>30.07076</v>
      </c>
      <c r="G45" s="253"/>
      <c r="H45" s="44">
        <f t="shared" si="52"/>
        <v>0</v>
      </c>
      <c r="I45" s="44">
        <f t="shared" si="53"/>
        <v>0</v>
      </c>
      <c r="J45" s="44">
        <f t="shared" si="54"/>
        <v>0</v>
      </c>
      <c r="K45" s="44">
        <v>2.525</v>
      </c>
      <c r="L45" s="44">
        <f t="shared" si="55"/>
        <v>75.928669</v>
      </c>
      <c r="M45" s="45"/>
      <c r="N45" s="35"/>
      <c r="Z45" s="14">
        <f t="shared" si="56"/>
        <v>0</v>
      </c>
      <c r="AB45" s="14">
        <f t="shared" si="57"/>
        <v>0</v>
      </c>
      <c r="AC45" s="14">
        <f t="shared" si="58"/>
        <v>0</v>
      </c>
      <c r="AD45" s="14">
        <f t="shared" si="59"/>
        <v>0</v>
      </c>
      <c r="AE45" s="14">
        <f t="shared" si="60"/>
        <v>0</v>
      </c>
      <c r="AF45" s="14">
        <f t="shared" si="61"/>
        <v>0</v>
      </c>
      <c r="AG45" s="14">
        <f t="shared" si="62"/>
        <v>0</v>
      </c>
      <c r="AH45" s="14">
        <f t="shared" si="63"/>
        <v>0</v>
      </c>
      <c r="AI45" s="10"/>
      <c r="AJ45" s="7">
        <f t="shared" si="64"/>
        <v>0</v>
      </c>
      <c r="AK45" s="7">
        <f t="shared" si="65"/>
        <v>0</v>
      </c>
      <c r="AL45" s="7">
        <f t="shared" si="66"/>
        <v>0</v>
      </c>
      <c r="AN45" s="14">
        <v>21</v>
      </c>
      <c r="AO45" s="14">
        <f>G45*0.897213655957726</f>
        <v>0</v>
      </c>
      <c r="AP45" s="14">
        <f>G45*(1-0.897213655957726)</f>
        <v>0</v>
      </c>
      <c r="AQ45" s="15" t="s">
        <v>6</v>
      </c>
      <c r="AV45" s="14">
        <f t="shared" si="67"/>
        <v>0</v>
      </c>
      <c r="AW45" s="14">
        <f t="shared" si="68"/>
        <v>0</v>
      </c>
      <c r="AX45" s="14">
        <f t="shared" si="69"/>
        <v>0</v>
      </c>
      <c r="AY45" s="17" t="s">
        <v>315</v>
      </c>
      <c r="AZ45" s="17" t="s">
        <v>329</v>
      </c>
      <c r="BA45" s="10" t="s">
        <v>337</v>
      </c>
      <c r="BC45" s="14">
        <f t="shared" si="70"/>
        <v>0</v>
      </c>
      <c r="BD45" s="14">
        <f t="shared" si="71"/>
        <v>0</v>
      </c>
      <c r="BE45" s="14">
        <v>0</v>
      </c>
      <c r="BF45" s="14">
        <f t="shared" si="72"/>
        <v>75.928669</v>
      </c>
      <c r="BH45" s="7">
        <f t="shared" si="73"/>
        <v>0</v>
      </c>
      <c r="BI45" s="7">
        <f t="shared" si="74"/>
        <v>0</v>
      </c>
      <c r="BJ45" s="7">
        <f t="shared" si="75"/>
        <v>0</v>
      </c>
      <c r="BK45" s="7" t="s">
        <v>342</v>
      </c>
      <c r="BL45" s="14">
        <v>27</v>
      </c>
    </row>
    <row r="46" spans="1:64" ht="12.75">
      <c r="A46" s="40" t="s">
        <v>34</v>
      </c>
      <c r="B46" s="40"/>
      <c r="C46" s="40" t="s">
        <v>111</v>
      </c>
      <c r="D46" s="53" t="s">
        <v>206</v>
      </c>
      <c r="E46" s="40" t="s">
        <v>276</v>
      </c>
      <c r="F46" s="41">
        <v>0.192</v>
      </c>
      <c r="G46" s="253"/>
      <c r="H46" s="41">
        <f t="shared" si="52"/>
        <v>0</v>
      </c>
      <c r="I46" s="41">
        <f t="shared" si="53"/>
        <v>0</v>
      </c>
      <c r="J46" s="41">
        <f t="shared" si="54"/>
        <v>0</v>
      </c>
      <c r="K46" s="41">
        <v>2.525</v>
      </c>
      <c r="L46" s="41">
        <f t="shared" si="55"/>
        <v>0.4848</v>
      </c>
      <c r="M46" s="42"/>
      <c r="N46" s="35"/>
      <c r="Z46" s="14">
        <f t="shared" si="56"/>
        <v>0</v>
      </c>
      <c r="AB46" s="14">
        <f t="shared" si="57"/>
        <v>0</v>
      </c>
      <c r="AC46" s="14">
        <f t="shared" si="58"/>
        <v>0</v>
      </c>
      <c r="AD46" s="14">
        <f t="shared" si="59"/>
        <v>0</v>
      </c>
      <c r="AE46" s="14">
        <f t="shared" si="60"/>
        <v>0</v>
      </c>
      <c r="AF46" s="14">
        <f t="shared" si="61"/>
        <v>0</v>
      </c>
      <c r="AG46" s="14">
        <f t="shared" si="62"/>
        <v>0</v>
      </c>
      <c r="AH46" s="14">
        <f t="shared" si="63"/>
        <v>0</v>
      </c>
      <c r="AI46" s="10"/>
      <c r="AJ46" s="7">
        <f t="shared" si="64"/>
        <v>0</v>
      </c>
      <c r="AK46" s="7">
        <f t="shared" si="65"/>
        <v>0</v>
      </c>
      <c r="AL46" s="7">
        <f t="shared" si="66"/>
        <v>0</v>
      </c>
      <c r="AN46" s="14">
        <v>21</v>
      </c>
      <c r="AO46" s="14">
        <f>G46*0.884358717513023</f>
        <v>0</v>
      </c>
      <c r="AP46" s="14">
        <f>G46*(1-0.884358717513023)</f>
        <v>0</v>
      </c>
      <c r="AQ46" s="15" t="s">
        <v>6</v>
      </c>
      <c r="AV46" s="14">
        <f t="shared" si="67"/>
        <v>0</v>
      </c>
      <c r="AW46" s="14">
        <f t="shared" si="68"/>
        <v>0</v>
      </c>
      <c r="AX46" s="14">
        <f t="shared" si="69"/>
        <v>0</v>
      </c>
      <c r="AY46" s="17" t="s">
        <v>315</v>
      </c>
      <c r="AZ46" s="17" t="s">
        <v>329</v>
      </c>
      <c r="BA46" s="10" t="s">
        <v>337</v>
      </c>
      <c r="BC46" s="14">
        <f t="shared" si="70"/>
        <v>0</v>
      </c>
      <c r="BD46" s="14">
        <f t="shared" si="71"/>
        <v>0</v>
      </c>
      <c r="BE46" s="14">
        <v>0</v>
      </c>
      <c r="BF46" s="14">
        <f t="shared" si="72"/>
        <v>0.4848</v>
      </c>
      <c r="BH46" s="7">
        <f t="shared" si="73"/>
        <v>0</v>
      </c>
      <c r="BI46" s="7">
        <f t="shared" si="74"/>
        <v>0</v>
      </c>
      <c r="BJ46" s="7">
        <f t="shared" si="75"/>
        <v>0</v>
      </c>
      <c r="BK46" s="7" t="s">
        <v>342</v>
      </c>
      <c r="BL46" s="14">
        <v>27</v>
      </c>
    </row>
    <row r="47" spans="1:64" ht="12.75">
      <c r="A47" s="40" t="s">
        <v>35</v>
      </c>
      <c r="B47" s="40"/>
      <c r="C47" s="40" t="s">
        <v>112</v>
      </c>
      <c r="D47" s="53" t="s">
        <v>207</v>
      </c>
      <c r="E47" s="40" t="s">
        <v>278</v>
      </c>
      <c r="F47" s="41">
        <v>6.36</v>
      </c>
      <c r="G47" s="253"/>
      <c r="H47" s="41">
        <f t="shared" si="52"/>
        <v>0</v>
      </c>
      <c r="I47" s="41">
        <f t="shared" si="53"/>
        <v>0</v>
      </c>
      <c r="J47" s="41">
        <f t="shared" si="54"/>
        <v>0</v>
      </c>
      <c r="K47" s="41">
        <v>0.03525</v>
      </c>
      <c r="L47" s="41">
        <f t="shared" si="55"/>
        <v>0.22419</v>
      </c>
      <c r="M47" s="42"/>
      <c r="N47" s="35"/>
      <c r="Z47" s="14">
        <f t="shared" si="56"/>
        <v>0</v>
      </c>
      <c r="AB47" s="14">
        <f t="shared" si="57"/>
        <v>0</v>
      </c>
      <c r="AC47" s="14">
        <f t="shared" si="58"/>
        <v>0</v>
      </c>
      <c r="AD47" s="14">
        <f t="shared" si="59"/>
        <v>0</v>
      </c>
      <c r="AE47" s="14">
        <f t="shared" si="60"/>
        <v>0</v>
      </c>
      <c r="AF47" s="14">
        <f t="shared" si="61"/>
        <v>0</v>
      </c>
      <c r="AG47" s="14">
        <f t="shared" si="62"/>
        <v>0</v>
      </c>
      <c r="AH47" s="14">
        <f t="shared" si="63"/>
        <v>0</v>
      </c>
      <c r="AI47" s="10"/>
      <c r="AJ47" s="7">
        <f t="shared" si="64"/>
        <v>0</v>
      </c>
      <c r="AK47" s="7">
        <f t="shared" si="65"/>
        <v>0</v>
      </c>
      <c r="AL47" s="7">
        <f t="shared" si="66"/>
        <v>0</v>
      </c>
      <c r="AN47" s="14">
        <v>21</v>
      </c>
      <c r="AO47" s="14">
        <f>G47*0.303606246147684</f>
        <v>0</v>
      </c>
      <c r="AP47" s="14">
        <f>G47*(1-0.303606246147684)</f>
        <v>0</v>
      </c>
      <c r="AQ47" s="15" t="s">
        <v>6</v>
      </c>
      <c r="AV47" s="14">
        <f t="shared" si="67"/>
        <v>0</v>
      </c>
      <c r="AW47" s="14">
        <f t="shared" si="68"/>
        <v>0</v>
      </c>
      <c r="AX47" s="14">
        <f t="shared" si="69"/>
        <v>0</v>
      </c>
      <c r="AY47" s="17" t="s">
        <v>315</v>
      </c>
      <c r="AZ47" s="17" t="s">
        <v>329</v>
      </c>
      <c r="BA47" s="10" t="s">
        <v>337</v>
      </c>
      <c r="BC47" s="14">
        <f t="shared" si="70"/>
        <v>0</v>
      </c>
      <c r="BD47" s="14">
        <f t="shared" si="71"/>
        <v>0</v>
      </c>
      <c r="BE47" s="14">
        <v>0</v>
      </c>
      <c r="BF47" s="14">
        <f t="shared" si="72"/>
        <v>0.22419</v>
      </c>
      <c r="BH47" s="7">
        <f t="shared" si="73"/>
        <v>0</v>
      </c>
      <c r="BI47" s="7">
        <f t="shared" si="74"/>
        <v>0</v>
      </c>
      <c r="BJ47" s="7">
        <f t="shared" si="75"/>
        <v>0</v>
      </c>
      <c r="BK47" s="7" t="s">
        <v>342</v>
      </c>
      <c r="BL47" s="14">
        <v>27</v>
      </c>
    </row>
    <row r="48" spans="1:64" ht="12.75">
      <c r="A48" s="40" t="s">
        <v>36</v>
      </c>
      <c r="B48" s="40"/>
      <c r="C48" s="40" t="s">
        <v>113</v>
      </c>
      <c r="D48" s="53" t="s">
        <v>208</v>
      </c>
      <c r="E48" s="40" t="s">
        <v>278</v>
      </c>
      <c r="F48" s="41">
        <v>6.36</v>
      </c>
      <c r="G48" s="253"/>
      <c r="H48" s="41">
        <f t="shared" si="52"/>
        <v>0</v>
      </c>
      <c r="I48" s="41">
        <f t="shared" si="53"/>
        <v>0</v>
      </c>
      <c r="J48" s="41">
        <f t="shared" si="54"/>
        <v>0</v>
      </c>
      <c r="K48" s="41">
        <v>0</v>
      </c>
      <c r="L48" s="41">
        <f t="shared" si="55"/>
        <v>0</v>
      </c>
      <c r="M48" s="42"/>
      <c r="N48" s="35"/>
      <c r="Z48" s="14">
        <f t="shared" si="56"/>
        <v>0</v>
      </c>
      <c r="AB48" s="14">
        <f t="shared" si="57"/>
        <v>0</v>
      </c>
      <c r="AC48" s="14">
        <f t="shared" si="58"/>
        <v>0</v>
      </c>
      <c r="AD48" s="14">
        <f t="shared" si="59"/>
        <v>0</v>
      </c>
      <c r="AE48" s="14">
        <f t="shared" si="60"/>
        <v>0</v>
      </c>
      <c r="AF48" s="14">
        <f t="shared" si="61"/>
        <v>0</v>
      </c>
      <c r="AG48" s="14">
        <f t="shared" si="62"/>
        <v>0</v>
      </c>
      <c r="AH48" s="14">
        <f t="shared" si="63"/>
        <v>0</v>
      </c>
      <c r="AI48" s="10"/>
      <c r="AJ48" s="7">
        <f t="shared" si="64"/>
        <v>0</v>
      </c>
      <c r="AK48" s="7">
        <f t="shared" si="65"/>
        <v>0</v>
      </c>
      <c r="AL48" s="7">
        <f t="shared" si="66"/>
        <v>0</v>
      </c>
      <c r="AN48" s="14">
        <v>21</v>
      </c>
      <c r="AO48" s="14">
        <f>G48*0</f>
        <v>0</v>
      </c>
      <c r="AP48" s="14">
        <f>G48*(1-0)</f>
        <v>0</v>
      </c>
      <c r="AQ48" s="15" t="s">
        <v>6</v>
      </c>
      <c r="AV48" s="14">
        <f t="shared" si="67"/>
        <v>0</v>
      </c>
      <c r="AW48" s="14">
        <f t="shared" si="68"/>
        <v>0</v>
      </c>
      <c r="AX48" s="14">
        <f t="shared" si="69"/>
        <v>0</v>
      </c>
      <c r="AY48" s="17" t="s">
        <v>315</v>
      </c>
      <c r="AZ48" s="17" t="s">
        <v>329</v>
      </c>
      <c r="BA48" s="10" t="s">
        <v>337</v>
      </c>
      <c r="BC48" s="14">
        <f t="shared" si="70"/>
        <v>0</v>
      </c>
      <c r="BD48" s="14">
        <f t="shared" si="71"/>
        <v>0</v>
      </c>
      <c r="BE48" s="14">
        <v>0</v>
      </c>
      <c r="BF48" s="14">
        <f t="shared" si="72"/>
        <v>0</v>
      </c>
      <c r="BH48" s="7">
        <f t="shared" si="73"/>
        <v>0</v>
      </c>
      <c r="BI48" s="7">
        <f t="shared" si="74"/>
        <v>0</v>
      </c>
      <c r="BJ48" s="7">
        <f t="shared" si="75"/>
        <v>0</v>
      </c>
      <c r="BK48" s="7" t="s">
        <v>342</v>
      </c>
      <c r="BL48" s="14">
        <v>27</v>
      </c>
    </row>
    <row r="49" spans="1:47" ht="12.75">
      <c r="A49" s="36"/>
      <c r="B49" s="37"/>
      <c r="C49" s="37" t="s">
        <v>33</v>
      </c>
      <c r="D49" s="52" t="s">
        <v>209</v>
      </c>
      <c r="E49" s="36" t="s">
        <v>5</v>
      </c>
      <c r="F49" s="36" t="s">
        <v>5</v>
      </c>
      <c r="G49" s="254" t="s">
        <v>5</v>
      </c>
      <c r="H49" s="38">
        <f>SUM(H50:H51)</f>
        <v>0</v>
      </c>
      <c r="I49" s="38">
        <f>SUM(I50:I51)</f>
        <v>0</v>
      </c>
      <c r="J49" s="38">
        <f>SUM(J50:J51)</f>
        <v>0</v>
      </c>
      <c r="K49" s="39"/>
      <c r="L49" s="38">
        <f>SUM(L50:L51)</f>
        <v>0.0354552</v>
      </c>
      <c r="M49" s="39"/>
      <c r="N49" s="35"/>
      <c r="AI49" s="10"/>
      <c r="AS49" s="19">
        <f>SUM(AJ50:AJ51)</f>
        <v>0</v>
      </c>
      <c r="AT49" s="19">
        <f>SUM(AK50:AK51)</f>
        <v>0</v>
      </c>
      <c r="AU49" s="19">
        <f>SUM(AL50:AL51)</f>
        <v>0</v>
      </c>
    </row>
    <row r="50" spans="1:64" ht="12.75">
      <c r="A50" s="43" t="s">
        <v>37</v>
      </c>
      <c r="B50" s="43"/>
      <c r="C50" s="43" t="s">
        <v>114</v>
      </c>
      <c r="D50" s="54" t="s">
        <v>210</v>
      </c>
      <c r="E50" s="43" t="s">
        <v>278</v>
      </c>
      <c r="F50" s="44">
        <v>44.5104</v>
      </c>
      <c r="G50" s="253"/>
      <c r="H50" s="44">
        <f>F50*AO50</f>
        <v>0</v>
      </c>
      <c r="I50" s="44">
        <f>F50*AP50</f>
        <v>0</v>
      </c>
      <c r="J50" s="44">
        <f>F50*G50</f>
        <v>0</v>
      </c>
      <c r="K50" s="44">
        <v>0.0005</v>
      </c>
      <c r="L50" s="44">
        <f>F50*K50</f>
        <v>0.0222552</v>
      </c>
      <c r="M50" s="45"/>
      <c r="N50" s="35"/>
      <c r="Z50" s="14">
        <f>IF(AQ50="5",BJ50,0)</f>
        <v>0</v>
      </c>
      <c r="AB50" s="14">
        <f>IF(AQ50="1",BH50,0)</f>
        <v>0</v>
      </c>
      <c r="AC50" s="14">
        <f>IF(AQ50="1",BI50,0)</f>
        <v>0</v>
      </c>
      <c r="AD50" s="14">
        <f>IF(AQ50="7",BH50,0)</f>
        <v>0</v>
      </c>
      <c r="AE50" s="14">
        <f>IF(AQ50="7",BI50,0)</f>
        <v>0</v>
      </c>
      <c r="AF50" s="14">
        <f>IF(AQ50="2",BH50,0)</f>
        <v>0</v>
      </c>
      <c r="AG50" s="14">
        <f>IF(AQ50="2",BI50,0)</f>
        <v>0</v>
      </c>
      <c r="AH50" s="14">
        <f>IF(AQ50="0",BJ50,0)</f>
        <v>0</v>
      </c>
      <c r="AI50" s="10"/>
      <c r="AJ50" s="7">
        <f>IF(AN50=0,J50,0)</f>
        <v>0</v>
      </c>
      <c r="AK50" s="7">
        <f>IF(AN50=15,J50,0)</f>
        <v>0</v>
      </c>
      <c r="AL50" s="7">
        <f>IF(AN50=21,J50,0)</f>
        <v>0</v>
      </c>
      <c r="AN50" s="14">
        <v>21</v>
      </c>
      <c r="AO50" s="14">
        <f>G50*0.299113084351114</f>
        <v>0</v>
      </c>
      <c r="AP50" s="14">
        <f>G50*(1-0.299113084351114)</f>
        <v>0</v>
      </c>
      <c r="AQ50" s="15" t="s">
        <v>6</v>
      </c>
      <c r="AV50" s="14">
        <f>AW50+AX50</f>
        <v>0</v>
      </c>
      <c r="AW50" s="14">
        <f>F50*AO50</f>
        <v>0</v>
      </c>
      <c r="AX50" s="14">
        <f>F50*AP50</f>
        <v>0</v>
      </c>
      <c r="AY50" s="17" t="s">
        <v>316</v>
      </c>
      <c r="AZ50" s="17" t="s">
        <v>329</v>
      </c>
      <c r="BA50" s="10" t="s">
        <v>337</v>
      </c>
      <c r="BC50" s="14">
        <f>AW50+AX50</f>
        <v>0</v>
      </c>
      <c r="BD50" s="14">
        <f>G50/(100-BE50)*100</f>
        <v>0</v>
      </c>
      <c r="BE50" s="14">
        <v>0</v>
      </c>
      <c r="BF50" s="14">
        <f>L50</f>
        <v>0.0222552</v>
      </c>
      <c r="BH50" s="7">
        <f>F50*AO50</f>
        <v>0</v>
      </c>
      <c r="BI50" s="7">
        <f>F50*AP50</f>
        <v>0</v>
      </c>
      <c r="BJ50" s="7">
        <f>F50*G50</f>
        <v>0</v>
      </c>
      <c r="BK50" s="7" t="s">
        <v>342</v>
      </c>
      <c r="BL50" s="14">
        <v>28</v>
      </c>
    </row>
    <row r="51" spans="1:64" ht="12.75">
      <c r="A51" s="40" t="s">
        <v>38</v>
      </c>
      <c r="B51" s="40"/>
      <c r="C51" s="40" t="s">
        <v>114</v>
      </c>
      <c r="D51" s="53" t="s">
        <v>211</v>
      </c>
      <c r="E51" s="40" t="s">
        <v>278</v>
      </c>
      <c r="F51" s="41">
        <v>26.4</v>
      </c>
      <c r="G51" s="253"/>
      <c r="H51" s="41">
        <f>F51*AO51</f>
        <v>0</v>
      </c>
      <c r="I51" s="41">
        <f>F51*AP51</f>
        <v>0</v>
      </c>
      <c r="J51" s="41">
        <f>F51*G51</f>
        <v>0</v>
      </c>
      <c r="K51" s="41">
        <v>0.0005</v>
      </c>
      <c r="L51" s="41">
        <f>F51*K51</f>
        <v>0.0132</v>
      </c>
      <c r="M51" s="42"/>
      <c r="N51" s="35"/>
      <c r="Z51" s="14">
        <f>IF(AQ51="5",BJ51,0)</f>
        <v>0</v>
      </c>
      <c r="AB51" s="14">
        <f>IF(AQ51="1",BH51,0)</f>
        <v>0</v>
      </c>
      <c r="AC51" s="14">
        <f>IF(AQ51="1",BI51,0)</f>
        <v>0</v>
      </c>
      <c r="AD51" s="14">
        <f>IF(AQ51="7",BH51,0)</f>
        <v>0</v>
      </c>
      <c r="AE51" s="14">
        <f>IF(AQ51="7",BI51,0)</f>
        <v>0</v>
      </c>
      <c r="AF51" s="14">
        <f>IF(AQ51="2",BH51,0)</f>
        <v>0</v>
      </c>
      <c r="AG51" s="14">
        <f>IF(AQ51="2",BI51,0)</f>
        <v>0</v>
      </c>
      <c r="AH51" s="14">
        <f>IF(AQ51="0",BJ51,0)</f>
        <v>0</v>
      </c>
      <c r="AI51" s="10"/>
      <c r="AJ51" s="7">
        <f>IF(AN51=0,J51,0)</f>
        <v>0</v>
      </c>
      <c r="AK51" s="7">
        <f>IF(AN51=15,J51,0)</f>
        <v>0</v>
      </c>
      <c r="AL51" s="7">
        <f>IF(AN51=21,J51,0)</f>
        <v>0</v>
      </c>
      <c r="AN51" s="14">
        <v>21</v>
      </c>
      <c r="AO51" s="14">
        <f>G51*0.29911363378853</f>
        <v>0</v>
      </c>
      <c r="AP51" s="14">
        <f>G51*(1-0.29911363378853)</f>
        <v>0</v>
      </c>
      <c r="AQ51" s="15" t="s">
        <v>6</v>
      </c>
      <c r="AV51" s="14">
        <f>AW51+AX51</f>
        <v>0</v>
      </c>
      <c r="AW51" s="14">
        <f>F51*AO51</f>
        <v>0</v>
      </c>
      <c r="AX51" s="14">
        <f>F51*AP51</f>
        <v>0</v>
      </c>
      <c r="AY51" s="17" t="s">
        <v>316</v>
      </c>
      <c r="AZ51" s="17" t="s">
        <v>329</v>
      </c>
      <c r="BA51" s="10" t="s">
        <v>337</v>
      </c>
      <c r="BC51" s="14">
        <f>AW51+AX51</f>
        <v>0</v>
      </c>
      <c r="BD51" s="14">
        <f>G51/(100-BE51)*100</f>
        <v>0</v>
      </c>
      <c r="BE51" s="14">
        <v>0</v>
      </c>
      <c r="BF51" s="14">
        <f>L51</f>
        <v>0.0132</v>
      </c>
      <c r="BH51" s="7">
        <f>F51*AO51</f>
        <v>0</v>
      </c>
      <c r="BI51" s="7">
        <f>F51*AP51</f>
        <v>0</v>
      </c>
      <c r="BJ51" s="7">
        <f>F51*G51</f>
        <v>0</v>
      </c>
      <c r="BK51" s="7" t="s">
        <v>342</v>
      </c>
      <c r="BL51" s="14">
        <v>28</v>
      </c>
    </row>
    <row r="52" spans="1:47" ht="12.75">
      <c r="A52" s="36"/>
      <c r="B52" s="37"/>
      <c r="C52" s="37" t="s">
        <v>38</v>
      </c>
      <c r="D52" s="52" t="s">
        <v>212</v>
      </c>
      <c r="E52" s="36" t="s">
        <v>5</v>
      </c>
      <c r="F52" s="36" t="s">
        <v>5</v>
      </c>
      <c r="G52" s="254" t="s">
        <v>5</v>
      </c>
      <c r="H52" s="38">
        <f>SUM(H53:H60)</f>
        <v>0</v>
      </c>
      <c r="I52" s="38">
        <f>SUM(I53:I60)</f>
        <v>0</v>
      </c>
      <c r="J52" s="38">
        <f>SUM(J53:J60)</f>
        <v>0</v>
      </c>
      <c r="K52" s="39"/>
      <c r="L52" s="38">
        <f>SUM(L53:L60)</f>
        <v>17.171600000000005</v>
      </c>
      <c r="M52" s="39"/>
      <c r="N52" s="35"/>
      <c r="AI52" s="10"/>
      <c r="AS52" s="19">
        <f>SUM(AJ53:AJ60)</f>
        <v>0</v>
      </c>
      <c r="AT52" s="19">
        <f>SUM(AK53:AK60)</f>
        <v>0</v>
      </c>
      <c r="AU52" s="19">
        <f>SUM(AL53:AL60)</f>
        <v>0</v>
      </c>
    </row>
    <row r="53" spans="1:64" ht="12.75">
      <c r="A53" s="43" t="s">
        <v>39</v>
      </c>
      <c r="B53" s="43"/>
      <c r="C53" s="43" t="s">
        <v>115</v>
      </c>
      <c r="D53" s="54" t="s">
        <v>213</v>
      </c>
      <c r="E53" s="43" t="s">
        <v>280</v>
      </c>
      <c r="F53" s="44">
        <v>30</v>
      </c>
      <c r="G53" s="253"/>
      <c r="H53" s="44">
        <f aca="true" t="shared" si="76" ref="H53:H60">F53*AO53</f>
        <v>0</v>
      </c>
      <c r="I53" s="44">
        <f aca="true" t="shared" si="77" ref="I53:I60">F53*AP53</f>
        <v>0</v>
      </c>
      <c r="J53" s="44">
        <f aca="true" t="shared" si="78" ref="J53:J60">F53*G53</f>
        <v>0</v>
      </c>
      <c r="K53" s="44">
        <v>0.18625</v>
      </c>
      <c r="L53" s="44">
        <f aca="true" t="shared" si="79" ref="L53:L60">F53*K53</f>
        <v>5.5875</v>
      </c>
      <c r="M53" s="45"/>
      <c r="N53" s="35"/>
      <c r="Z53" s="14">
        <f aca="true" t="shared" si="80" ref="Z53:Z60">IF(AQ53="5",BJ53,0)</f>
        <v>0</v>
      </c>
      <c r="AB53" s="14">
        <f aca="true" t="shared" si="81" ref="AB53:AB60">IF(AQ53="1",BH53,0)</f>
        <v>0</v>
      </c>
      <c r="AC53" s="14">
        <f aca="true" t="shared" si="82" ref="AC53:AC60">IF(AQ53="1",BI53,0)</f>
        <v>0</v>
      </c>
      <c r="AD53" s="14">
        <f aca="true" t="shared" si="83" ref="AD53:AD60">IF(AQ53="7",BH53,0)</f>
        <v>0</v>
      </c>
      <c r="AE53" s="14">
        <f aca="true" t="shared" si="84" ref="AE53:AE60">IF(AQ53="7",BI53,0)</f>
        <v>0</v>
      </c>
      <c r="AF53" s="14">
        <f aca="true" t="shared" si="85" ref="AF53:AF60">IF(AQ53="2",BH53,0)</f>
        <v>0</v>
      </c>
      <c r="AG53" s="14">
        <f aca="true" t="shared" si="86" ref="AG53:AG60">IF(AQ53="2",BI53,0)</f>
        <v>0</v>
      </c>
      <c r="AH53" s="14">
        <f aca="true" t="shared" si="87" ref="AH53:AH60">IF(AQ53="0",BJ53,0)</f>
        <v>0</v>
      </c>
      <c r="AI53" s="10"/>
      <c r="AJ53" s="7">
        <f aca="true" t="shared" si="88" ref="AJ53:AJ60">IF(AN53=0,J53,0)</f>
        <v>0</v>
      </c>
      <c r="AK53" s="7">
        <f aca="true" t="shared" si="89" ref="AK53:AK60">IF(AN53=15,J53,0)</f>
        <v>0</v>
      </c>
      <c r="AL53" s="7">
        <f aca="true" t="shared" si="90" ref="AL53:AL60">IF(AN53=21,J53,0)</f>
        <v>0</v>
      </c>
      <c r="AN53" s="14">
        <v>21</v>
      </c>
      <c r="AO53" s="14">
        <f>G53*0.40532981530343</f>
        <v>0</v>
      </c>
      <c r="AP53" s="14">
        <f>G53*(1-0.40532981530343)</f>
        <v>0</v>
      </c>
      <c r="AQ53" s="15" t="s">
        <v>6</v>
      </c>
      <c r="AV53" s="14">
        <f aca="true" t="shared" si="91" ref="AV53:AV60">AW53+AX53</f>
        <v>0</v>
      </c>
      <c r="AW53" s="14">
        <f aca="true" t="shared" si="92" ref="AW53:AW60">F53*AO53</f>
        <v>0</v>
      </c>
      <c r="AX53" s="14">
        <f aca="true" t="shared" si="93" ref="AX53:AX60">F53*AP53</f>
        <v>0</v>
      </c>
      <c r="AY53" s="17" t="s">
        <v>317</v>
      </c>
      <c r="AZ53" s="17" t="s">
        <v>330</v>
      </c>
      <c r="BA53" s="10" t="s">
        <v>337</v>
      </c>
      <c r="BC53" s="14">
        <f aca="true" t="shared" si="94" ref="BC53:BC60">AW53+AX53</f>
        <v>0</v>
      </c>
      <c r="BD53" s="14">
        <f aca="true" t="shared" si="95" ref="BD53:BD60">G53/(100-BE53)*100</f>
        <v>0</v>
      </c>
      <c r="BE53" s="14">
        <v>0</v>
      </c>
      <c r="BF53" s="14">
        <f aca="true" t="shared" si="96" ref="BF53:BF60">L53</f>
        <v>5.5875</v>
      </c>
      <c r="BH53" s="7">
        <f aca="true" t="shared" si="97" ref="BH53:BH60">F53*AO53</f>
        <v>0</v>
      </c>
      <c r="BI53" s="7">
        <f aca="true" t="shared" si="98" ref="BI53:BI60">F53*AP53</f>
        <v>0</v>
      </c>
      <c r="BJ53" s="7">
        <f aca="true" t="shared" si="99" ref="BJ53:BJ60">F53*G53</f>
        <v>0</v>
      </c>
      <c r="BK53" s="7" t="s">
        <v>342</v>
      </c>
      <c r="BL53" s="14">
        <v>33</v>
      </c>
    </row>
    <row r="54" spans="1:64" ht="12.75">
      <c r="A54" s="49" t="s">
        <v>40</v>
      </c>
      <c r="B54" s="49"/>
      <c r="C54" s="49" t="s">
        <v>116</v>
      </c>
      <c r="D54" s="56" t="s">
        <v>214</v>
      </c>
      <c r="E54" s="49" t="s">
        <v>280</v>
      </c>
      <c r="F54" s="50">
        <v>4</v>
      </c>
      <c r="G54" s="255"/>
      <c r="H54" s="50">
        <f t="shared" si="76"/>
        <v>0</v>
      </c>
      <c r="I54" s="50">
        <f t="shared" si="77"/>
        <v>0</v>
      </c>
      <c r="J54" s="50">
        <f t="shared" si="78"/>
        <v>0</v>
      </c>
      <c r="K54" s="50">
        <v>0.0079</v>
      </c>
      <c r="L54" s="50">
        <f t="shared" si="79"/>
        <v>0.0316</v>
      </c>
      <c r="M54" s="51"/>
      <c r="N54" s="35"/>
      <c r="Z54" s="14">
        <f t="shared" si="80"/>
        <v>0</v>
      </c>
      <c r="AB54" s="14">
        <f t="shared" si="81"/>
        <v>0</v>
      </c>
      <c r="AC54" s="14">
        <f t="shared" si="82"/>
        <v>0</v>
      </c>
      <c r="AD54" s="14">
        <f t="shared" si="83"/>
        <v>0</v>
      </c>
      <c r="AE54" s="14">
        <f t="shared" si="84"/>
        <v>0</v>
      </c>
      <c r="AF54" s="14">
        <f t="shared" si="85"/>
        <v>0</v>
      </c>
      <c r="AG54" s="14">
        <f t="shared" si="86"/>
        <v>0</v>
      </c>
      <c r="AH54" s="14">
        <f t="shared" si="87"/>
        <v>0</v>
      </c>
      <c r="AI54" s="10"/>
      <c r="AJ54" s="8">
        <f t="shared" si="88"/>
        <v>0</v>
      </c>
      <c r="AK54" s="8">
        <f t="shared" si="89"/>
        <v>0</v>
      </c>
      <c r="AL54" s="8">
        <f t="shared" si="90"/>
        <v>0</v>
      </c>
      <c r="AN54" s="14">
        <v>21</v>
      </c>
      <c r="AO54" s="14">
        <f>G54*1</f>
        <v>0</v>
      </c>
      <c r="AP54" s="14">
        <f>G54*(1-1)</f>
        <v>0</v>
      </c>
      <c r="AQ54" s="16" t="s">
        <v>6</v>
      </c>
      <c r="AV54" s="14">
        <f t="shared" si="91"/>
        <v>0</v>
      </c>
      <c r="AW54" s="14">
        <f t="shared" si="92"/>
        <v>0</v>
      </c>
      <c r="AX54" s="14">
        <f t="shared" si="93"/>
        <v>0</v>
      </c>
      <c r="AY54" s="17" t="s">
        <v>317</v>
      </c>
      <c r="AZ54" s="17" t="s">
        <v>330</v>
      </c>
      <c r="BA54" s="10" t="s">
        <v>337</v>
      </c>
      <c r="BC54" s="14">
        <f t="shared" si="94"/>
        <v>0</v>
      </c>
      <c r="BD54" s="14">
        <f t="shared" si="95"/>
        <v>0</v>
      </c>
      <c r="BE54" s="14">
        <v>0</v>
      </c>
      <c r="BF54" s="14">
        <f t="shared" si="96"/>
        <v>0.0316</v>
      </c>
      <c r="BH54" s="8">
        <f t="shared" si="97"/>
        <v>0</v>
      </c>
      <c r="BI54" s="8">
        <f t="shared" si="98"/>
        <v>0</v>
      </c>
      <c r="BJ54" s="8">
        <f t="shared" si="99"/>
        <v>0</v>
      </c>
      <c r="BK54" s="8" t="s">
        <v>343</v>
      </c>
      <c r="BL54" s="14">
        <v>33</v>
      </c>
    </row>
    <row r="55" spans="1:64" ht="12.75">
      <c r="A55" s="49" t="s">
        <v>41</v>
      </c>
      <c r="B55" s="49"/>
      <c r="C55" s="49" t="s">
        <v>117</v>
      </c>
      <c r="D55" s="56" t="s">
        <v>215</v>
      </c>
      <c r="E55" s="49" t="s">
        <v>280</v>
      </c>
      <c r="F55" s="50">
        <v>26</v>
      </c>
      <c r="G55" s="255"/>
      <c r="H55" s="50">
        <f t="shared" si="76"/>
        <v>0</v>
      </c>
      <c r="I55" s="50">
        <f t="shared" si="77"/>
        <v>0</v>
      </c>
      <c r="J55" s="50">
        <f t="shared" si="78"/>
        <v>0</v>
      </c>
      <c r="K55" s="50">
        <v>0.00425</v>
      </c>
      <c r="L55" s="50">
        <f t="shared" si="79"/>
        <v>0.11050000000000001</v>
      </c>
      <c r="M55" s="51"/>
      <c r="N55" s="35"/>
      <c r="Z55" s="14">
        <f t="shared" si="80"/>
        <v>0</v>
      </c>
      <c r="AB55" s="14">
        <f t="shared" si="81"/>
        <v>0</v>
      </c>
      <c r="AC55" s="14">
        <f t="shared" si="82"/>
        <v>0</v>
      </c>
      <c r="AD55" s="14">
        <f t="shared" si="83"/>
        <v>0</v>
      </c>
      <c r="AE55" s="14">
        <f t="shared" si="84"/>
        <v>0</v>
      </c>
      <c r="AF55" s="14">
        <f t="shared" si="85"/>
        <v>0</v>
      </c>
      <c r="AG55" s="14">
        <f t="shared" si="86"/>
        <v>0</v>
      </c>
      <c r="AH55" s="14">
        <f t="shared" si="87"/>
        <v>0</v>
      </c>
      <c r="AI55" s="10"/>
      <c r="AJ55" s="8">
        <f t="shared" si="88"/>
        <v>0</v>
      </c>
      <c r="AK55" s="8">
        <f t="shared" si="89"/>
        <v>0</v>
      </c>
      <c r="AL55" s="8">
        <f t="shared" si="90"/>
        <v>0</v>
      </c>
      <c r="AN55" s="14">
        <v>21</v>
      </c>
      <c r="AO55" s="14">
        <f>G55*1</f>
        <v>0</v>
      </c>
      <c r="AP55" s="14">
        <f>G55*(1-1)</f>
        <v>0</v>
      </c>
      <c r="AQ55" s="16" t="s">
        <v>6</v>
      </c>
      <c r="AV55" s="14">
        <f t="shared" si="91"/>
        <v>0</v>
      </c>
      <c r="AW55" s="14">
        <f t="shared" si="92"/>
        <v>0</v>
      </c>
      <c r="AX55" s="14">
        <f t="shared" si="93"/>
        <v>0</v>
      </c>
      <c r="AY55" s="17" t="s">
        <v>317</v>
      </c>
      <c r="AZ55" s="17" t="s">
        <v>330</v>
      </c>
      <c r="BA55" s="10" t="s">
        <v>337</v>
      </c>
      <c r="BC55" s="14">
        <f t="shared" si="94"/>
        <v>0</v>
      </c>
      <c r="BD55" s="14">
        <f t="shared" si="95"/>
        <v>0</v>
      </c>
      <c r="BE55" s="14">
        <v>0</v>
      </c>
      <c r="BF55" s="14">
        <f t="shared" si="96"/>
        <v>0.11050000000000001</v>
      </c>
      <c r="BH55" s="8">
        <f t="shared" si="97"/>
        <v>0</v>
      </c>
      <c r="BI55" s="8">
        <f t="shared" si="98"/>
        <v>0</v>
      </c>
      <c r="BJ55" s="8">
        <f t="shared" si="99"/>
        <v>0</v>
      </c>
      <c r="BK55" s="8" t="s">
        <v>343</v>
      </c>
      <c r="BL55" s="14">
        <v>33</v>
      </c>
    </row>
    <row r="56" spans="1:64" ht="12.75">
      <c r="A56" s="43" t="s">
        <v>42</v>
      </c>
      <c r="B56" s="43"/>
      <c r="C56" s="43" t="s">
        <v>118</v>
      </c>
      <c r="D56" s="54" t="s">
        <v>216</v>
      </c>
      <c r="E56" s="43" t="s">
        <v>280</v>
      </c>
      <c r="F56" s="44">
        <v>30</v>
      </c>
      <c r="G56" s="253"/>
      <c r="H56" s="44">
        <f t="shared" si="76"/>
        <v>0</v>
      </c>
      <c r="I56" s="44">
        <f t="shared" si="77"/>
        <v>0</v>
      </c>
      <c r="J56" s="44">
        <f t="shared" si="78"/>
        <v>0</v>
      </c>
      <c r="K56" s="44">
        <v>0.3725</v>
      </c>
      <c r="L56" s="44">
        <f t="shared" si="79"/>
        <v>11.175</v>
      </c>
      <c r="M56" s="45"/>
      <c r="N56" s="35"/>
      <c r="Z56" s="14">
        <f t="shared" si="80"/>
        <v>0</v>
      </c>
      <c r="AB56" s="14">
        <f t="shared" si="81"/>
        <v>0</v>
      </c>
      <c r="AC56" s="14">
        <f t="shared" si="82"/>
        <v>0</v>
      </c>
      <c r="AD56" s="14">
        <f t="shared" si="83"/>
        <v>0</v>
      </c>
      <c r="AE56" s="14">
        <f t="shared" si="84"/>
        <v>0</v>
      </c>
      <c r="AF56" s="14">
        <f t="shared" si="85"/>
        <v>0</v>
      </c>
      <c r="AG56" s="14">
        <f t="shared" si="86"/>
        <v>0</v>
      </c>
      <c r="AH56" s="14">
        <f t="shared" si="87"/>
        <v>0</v>
      </c>
      <c r="AI56" s="10"/>
      <c r="AJ56" s="7">
        <f t="shared" si="88"/>
        <v>0</v>
      </c>
      <c r="AK56" s="7">
        <f t="shared" si="89"/>
        <v>0</v>
      </c>
      <c r="AL56" s="7">
        <f t="shared" si="90"/>
        <v>0</v>
      </c>
      <c r="AN56" s="14">
        <v>21</v>
      </c>
      <c r="AO56" s="14">
        <f>G56*0.40532981530343</f>
        <v>0</v>
      </c>
      <c r="AP56" s="14">
        <f>G56*(1-0.40532981530343)</f>
        <v>0</v>
      </c>
      <c r="AQ56" s="15" t="s">
        <v>6</v>
      </c>
      <c r="AV56" s="14">
        <f t="shared" si="91"/>
        <v>0</v>
      </c>
      <c r="AW56" s="14">
        <f t="shared" si="92"/>
        <v>0</v>
      </c>
      <c r="AX56" s="14">
        <f t="shared" si="93"/>
        <v>0</v>
      </c>
      <c r="AY56" s="17" t="s">
        <v>317</v>
      </c>
      <c r="AZ56" s="17" t="s">
        <v>330</v>
      </c>
      <c r="BA56" s="10" t="s">
        <v>337</v>
      </c>
      <c r="BC56" s="14">
        <f t="shared" si="94"/>
        <v>0</v>
      </c>
      <c r="BD56" s="14">
        <f t="shared" si="95"/>
        <v>0</v>
      </c>
      <c r="BE56" s="14">
        <v>0</v>
      </c>
      <c r="BF56" s="14">
        <f t="shared" si="96"/>
        <v>11.175</v>
      </c>
      <c r="BH56" s="7">
        <f t="shared" si="97"/>
        <v>0</v>
      </c>
      <c r="BI56" s="7">
        <f t="shared" si="98"/>
        <v>0</v>
      </c>
      <c r="BJ56" s="7">
        <f t="shared" si="99"/>
        <v>0</v>
      </c>
      <c r="BK56" s="7" t="s">
        <v>342</v>
      </c>
      <c r="BL56" s="14">
        <v>33</v>
      </c>
    </row>
    <row r="57" spans="1:64" ht="12.75">
      <c r="A57" s="49" t="s">
        <v>43</v>
      </c>
      <c r="B57" s="49"/>
      <c r="C57" s="49" t="s">
        <v>119</v>
      </c>
      <c r="D57" s="56" t="s">
        <v>217</v>
      </c>
      <c r="E57" s="49" t="s">
        <v>280</v>
      </c>
      <c r="F57" s="50">
        <v>30</v>
      </c>
      <c r="G57" s="255"/>
      <c r="H57" s="50">
        <f t="shared" si="76"/>
        <v>0</v>
      </c>
      <c r="I57" s="50">
        <f t="shared" si="77"/>
        <v>0</v>
      </c>
      <c r="J57" s="50">
        <f t="shared" si="78"/>
        <v>0</v>
      </c>
      <c r="K57" s="50">
        <v>0.0043</v>
      </c>
      <c r="L57" s="50">
        <f t="shared" si="79"/>
        <v>0.129</v>
      </c>
      <c r="M57" s="51"/>
      <c r="N57" s="35"/>
      <c r="Z57" s="14">
        <f t="shared" si="80"/>
        <v>0</v>
      </c>
      <c r="AB57" s="14">
        <f t="shared" si="81"/>
        <v>0</v>
      </c>
      <c r="AC57" s="14">
        <f t="shared" si="82"/>
        <v>0</v>
      </c>
      <c r="AD57" s="14">
        <f t="shared" si="83"/>
        <v>0</v>
      </c>
      <c r="AE57" s="14">
        <f t="shared" si="84"/>
        <v>0</v>
      </c>
      <c r="AF57" s="14">
        <f t="shared" si="85"/>
        <v>0</v>
      </c>
      <c r="AG57" s="14">
        <f t="shared" si="86"/>
        <v>0</v>
      </c>
      <c r="AH57" s="14">
        <f t="shared" si="87"/>
        <v>0</v>
      </c>
      <c r="AI57" s="10"/>
      <c r="AJ57" s="8">
        <f t="shared" si="88"/>
        <v>0</v>
      </c>
      <c r="AK57" s="8">
        <f t="shared" si="89"/>
        <v>0</v>
      </c>
      <c r="AL57" s="8">
        <f t="shared" si="90"/>
        <v>0</v>
      </c>
      <c r="AN57" s="14">
        <v>21</v>
      </c>
      <c r="AO57" s="14">
        <f>G57*1</f>
        <v>0</v>
      </c>
      <c r="AP57" s="14">
        <f>G57*(1-1)</f>
        <v>0</v>
      </c>
      <c r="AQ57" s="16" t="s">
        <v>6</v>
      </c>
      <c r="AV57" s="14">
        <f t="shared" si="91"/>
        <v>0</v>
      </c>
      <c r="AW57" s="14">
        <f t="shared" si="92"/>
        <v>0</v>
      </c>
      <c r="AX57" s="14">
        <f t="shared" si="93"/>
        <v>0</v>
      </c>
      <c r="AY57" s="17" t="s">
        <v>317</v>
      </c>
      <c r="AZ57" s="17" t="s">
        <v>330</v>
      </c>
      <c r="BA57" s="10" t="s">
        <v>337</v>
      </c>
      <c r="BC57" s="14">
        <f t="shared" si="94"/>
        <v>0</v>
      </c>
      <c r="BD57" s="14">
        <f t="shared" si="95"/>
        <v>0</v>
      </c>
      <c r="BE57" s="14">
        <v>0</v>
      </c>
      <c r="BF57" s="14">
        <f t="shared" si="96"/>
        <v>0.129</v>
      </c>
      <c r="BH57" s="8">
        <f t="shared" si="97"/>
        <v>0</v>
      </c>
      <c r="BI57" s="8">
        <f t="shared" si="98"/>
        <v>0</v>
      </c>
      <c r="BJ57" s="8">
        <f t="shared" si="99"/>
        <v>0</v>
      </c>
      <c r="BK57" s="8" t="s">
        <v>343</v>
      </c>
      <c r="BL57" s="14">
        <v>33</v>
      </c>
    </row>
    <row r="58" spans="1:64" ht="12.75">
      <c r="A58" s="49" t="s">
        <v>44</v>
      </c>
      <c r="B58" s="49"/>
      <c r="C58" s="49" t="s">
        <v>120</v>
      </c>
      <c r="D58" s="56" t="s">
        <v>218</v>
      </c>
      <c r="E58" s="49" t="s">
        <v>280</v>
      </c>
      <c r="F58" s="50">
        <v>30</v>
      </c>
      <c r="G58" s="255"/>
      <c r="H58" s="50">
        <f t="shared" si="76"/>
        <v>0</v>
      </c>
      <c r="I58" s="50">
        <f t="shared" si="77"/>
        <v>0</v>
      </c>
      <c r="J58" s="50">
        <f t="shared" si="78"/>
        <v>0</v>
      </c>
      <c r="K58" s="50">
        <v>0.0046</v>
      </c>
      <c r="L58" s="50">
        <f t="shared" si="79"/>
        <v>0.138</v>
      </c>
      <c r="M58" s="51"/>
      <c r="N58" s="35"/>
      <c r="Z58" s="14">
        <f t="shared" si="80"/>
        <v>0</v>
      </c>
      <c r="AB58" s="14">
        <f t="shared" si="81"/>
        <v>0</v>
      </c>
      <c r="AC58" s="14">
        <f t="shared" si="82"/>
        <v>0</v>
      </c>
      <c r="AD58" s="14">
        <f t="shared" si="83"/>
        <v>0</v>
      </c>
      <c r="AE58" s="14">
        <f t="shared" si="84"/>
        <v>0</v>
      </c>
      <c r="AF58" s="14">
        <f t="shared" si="85"/>
        <v>0</v>
      </c>
      <c r="AG58" s="14">
        <f t="shared" si="86"/>
        <v>0</v>
      </c>
      <c r="AH58" s="14">
        <f t="shared" si="87"/>
        <v>0</v>
      </c>
      <c r="AI58" s="10"/>
      <c r="AJ58" s="8">
        <f t="shared" si="88"/>
        <v>0</v>
      </c>
      <c r="AK58" s="8">
        <f t="shared" si="89"/>
        <v>0</v>
      </c>
      <c r="AL58" s="8">
        <f t="shared" si="90"/>
        <v>0</v>
      </c>
      <c r="AN58" s="14">
        <v>21</v>
      </c>
      <c r="AO58" s="14">
        <f>G58*1</f>
        <v>0</v>
      </c>
      <c r="AP58" s="14">
        <f>G58*(1-1)</f>
        <v>0</v>
      </c>
      <c r="AQ58" s="16" t="s">
        <v>6</v>
      </c>
      <c r="AV58" s="14">
        <f t="shared" si="91"/>
        <v>0</v>
      </c>
      <c r="AW58" s="14">
        <f t="shared" si="92"/>
        <v>0</v>
      </c>
      <c r="AX58" s="14">
        <f t="shared" si="93"/>
        <v>0</v>
      </c>
      <c r="AY58" s="17" t="s">
        <v>317</v>
      </c>
      <c r="AZ58" s="17" t="s">
        <v>330</v>
      </c>
      <c r="BA58" s="10" t="s">
        <v>337</v>
      </c>
      <c r="BC58" s="14">
        <f t="shared" si="94"/>
        <v>0</v>
      </c>
      <c r="BD58" s="14">
        <f t="shared" si="95"/>
        <v>0</v>
      </c>
      <c r="BE58" s="14">
        <v>0</v>
      </c>
      <c r="BF58" s="14">
        <f t="shared" si="96"/>
        <v>0.138</v>
      </c>
      <c r="BH58" s="8">
        <f t="shared" si="97"/>
        <v>0</v>
      </c>
      <c r="BI58" s="8">
        <f t="shared" si="98"/>
        <v>0</v>
      </c>
      <c r="BJ58" s="8">
        <f t="shared" si="99"/>
        <v>0</v>
      </c>
      <c r="BK58" s="8" t="s">
        <v>343</v>
      </c>
      <c r="BL58" s="14">
        <v>33</v>
      </c>
    </row>
    <row r="59" spans="1:64" ht="12.75">
      <c r="A59" s="49" t="s">
        <v>45</v>
      </c>
      <c r="B59" s="49"/>
      <c r="C59" s="49" t="s">
        <v>121</v>
      </c>
      <c r="D59" s="56" t="s">
        <v>219</v>
      </c>
      <c r="E59" s="49" t="s">
        <v>280</v>
      </c>
      <c r="F59" s="50">
        <v>180</v>
      </c>
      <c r="G59" s="255"/>
      <c r="H59" s="50">
        <f t="shared" si="76"/>
        <v>0</v>
      </c>
      <c r="I59" s="50">
        <f t="shared" si="77"/>
        <v>0</v>
      </c>
      <c r="J59" s="50">
        <f t="shared" si="78"/>
        <v>0</v>
      </c>
      <c r="K59" s="50">
        <v>0</v>
      </c>
      <c r="L59" s="50">
        <f t="shared" si="79"/>
        <v>0</v>
      </c>
      <c r="M59" s="51"/>
      <c r="N59" s="35"/>
      <c r="Z59" s="14">
        <f t="shared" si="80"/>
        <v>0</v>
      </c>
      <c r="AB59" s="14">
        <f t="shared" si="81"/>
        <v>0</v>
      </c>
      <c r="AC59" s="14">
        <f t="shared" si="82"/>
        <v>0</v>
      </c>
      <c r="AD59" s="14">
        <f t="shared" si="83"/>
        <v>0</v>
      </c>
      <c r="AE59" s="14">
        <f t="shared" si="84"/>
        <v>0</v>
      </c>
      <c r="AF59" s="14">
        <f t="shared" si="85"/>
        <v>0</v>
      </c>
      <c r="AG59" s="14">
        <f t="shared" si="86"/>
        <v>0</v>
      </c>
      <c r="AH59" s="14">
        <f t="shared" si="87"/>
        <v>0</v>
      </c>
      <c r="AI59" s="10"/>
      <c r="AJ59" s="8">
        <f t="shared" si="88"/>
        <v>0</v>
      </c>
      <c r="AK59" s="8">
        <f t="shared" si="89"/>
        <v>0</v>
      </c>
      <c r="AL59" s="8">
        <f t="shared" si="90"/>
        <v>0</v>
      </c>
      <c r="AN59" s="14">
        <v>21</v>
      </c>
      <c r="AO59" s="14">
        <f>G59*1</f>
        <v>0</v>
      </c>
      <c r="AP59" s="14">
        <f>G59*(1-1)</f>
        <v>0</v>
      </c>
      <c r="AQ59" s="16" t="s">
        <v>6</v>
      </c>
      <c r="AV59" s="14">
        <f t="shared" si="91"/>
        <v>0</v>
      </c>
      <c r="AW59" s="14">
        <f t="shared" si="92"/>
        <v>0</v>
      </c>
      <c r="AX59" s="14">
        <f t="shared" si="93"/>
        <v>0</v>
      </c>
      <c r="AY59" s="17" t="s">
        <v>317</v>
      </c>
      <c r="AZ59" s="17" t="s">
        <v>330</v>
      </c>
      <c r="BA59" s="10" t="s">
        <v>337</v>
      </c>
      <c r="BC59" s="14">
        <f t="shared" si="94"/>
        <v>0</v>
      </c>
      <c r="BD59" s="14">
        <f t="shared" si="95"/>
        <v>0</v>
      </c>
      <c r="BE59" s="14">
        <v>0</v>
      </c>
      <c r="BF59" s="14">
        <f t="shared" si="96"/>
        <v>0</v>
      </c>
      <c r="BH59" s="8">
        <f t="shared" si="97"/>
        <v>0</v>
      </c>
      <c r="BI59" s="8">
        <f t="shared" si="98"/>
        <v>0</v>
      </c>
      <c r="BJ59" s="8">
        <f t="shared" si="99"/>
        <v>0</v>
      </c>
      <c r="BK59" s="8" t="s">
        <v>343</v>
      </c>
      <c r="BL59" s="14">
        <v>33</v>
      </c>
    </row>
    <row r="60" spans="1:64" ht="12.75">
      <c r="A60" s="43" t="s">
        <v>46</v>
      </c>
      <c r="B60" s="43"/>
      <c r="C60" s="43" t="s">
        <v>122</v>
      </c>
      <c r="D60" s="54" t="s">
        <v>220</v>
      </c>
      <c r="E60" s="43" t="s">
        <v>280</v>
      </c>
      <c r="F60" s="44">
        <v>1</v>
      </c>
      <c r="G60" s="253"/>
      <c r="H60" s="44">
        <f t="shared" si="76"/>
        <v>0</v>
      </c>
      <c r="I60" s="44">
        <f t="shared" si="77"/>
        <v>0</v>
      </c>
      <c r="J60" s="44">
        <f t="shared" si="78"/>
        <v>0</v>
      </c>
      <c r="K60" s="44">
        <v>0</v>
      </c>
      <c r="L60" s="44">
        <f t="shared" si="79"/>
        <v>0</v>
      </c>
      <c r="M60" s="45"/>
      <c r="N60" s="35"/>
      <c r="Z60" s="14">
        <f t="shared" si="80"/>
        <v>0</v>
      </c>
      <c r="AB60" s="14">
        <f t="shared" si="81"/>
        <v>0</v>
      </c>
      <c r="AC60" s="14">
        <f t="shared" si="82"/>
        <v>0</v>
      </c>
      <c r="AD60" s="14">
        <f t="shared" si="83"/>
        <v>0</v>
      </c>
      <c r="AE60" s="14">
        <f t="shared" si="84"/>
        <v>0</v>
      </c>
      <c r="AF60" s="14">
        <f t="shared" si="85"/>
        <v>0</v>
      </c>
      <c r="AG60" s="14">
        <f t="shared" si="86"/>
        <v>0</v>
      </c>
      <c r="AH60" s="14">
        <f t="shared" si="87"/>
        <v>0</v>
      </c>
      <c r="AI60" s="10"/>
      <c r="AJ60" s="7">
        <f t="shared" si="88"/>
        <v>0</v>
      </c>
      <c r="AK60" s="7">
        <f t="shared" si="89"/>
        <v>0</v>
      </c>
      <c r="AL60" s="7">
        <f t="shared" si="90"/>
        <v>0</v>
      </c>
      <c r="AN60" s="14">
        <v>21</v>
      </c>
      <c r="AO60" s="14">
        <f>G60*0</f>
        <v>0</v>
      </c>
      <c r="AP60" s="14">
        <f>G60*(1-0)</f>
        <v>0</v>
      </c>
      <c r="AQ60" s="15" t="s">
        <v>6</v>
      </c>
      <c r="AV60" s="14">
        <f t="shared" si="91"/>
        <v>0</v>
      </c>
      <c r="AW60" s="14">
        <f t="shared" si="92"/>
        <v>0</v>
      </c>
      <c r="AX60" s="14">
        <f t="shared" si="93"/>
        <v>0</v>
      </c>
      <c r="AY60" s="17" t="s">
        <v>317</v>
      </c>
      <c r="AZ60" s="17" t="s">
        <v>330</v>
      </c>
      <c r="BA60" s="10" t="s">
        <v>337</v>
      </c>
      <c r="BC60" s="14">
        <f t="shared" si="94"/>
        <v>0</v>
      </c>
      <c r="BD60" s="14">
        <f t="shared" si="95"/>
        <v>0</v>
      </c>
      <c r="BE60" s="14">
        <v>0</v>
      </c>
      <c r="BF60" s="14">
        <f t="shared" si="96"/>
        <v>0</v>
      </c>
      <c r="BH60" s="7">
        <f t="shared" si="97"/>
        <v>0</v>
      </c>
      <c r="BI60" s="7">
        <f t="shared" si="98"/>
        <v>0</v>
      </c>
      <c r="BJ60" s="7">
        <f t="shared" si="99"/>
        <v>0</v>
      </c>
      <c r="BK60" s="7" t="s">
        <v>342</v>
      </c>
      <c r="BL60" s="14">
        <v>33</v>
      </c>
    </row>
    <row r="61" spans="1:47" ht="12.75">
      <c r="A61" s="36"/>
      <c r="B61" s="37"/>
      <c r="C61" s="37" t="s">
        <v>39</v>
      </c>
      <c r="D61" s="52" t="s">
        <v>221</v>
      </c>
      <c r="E61" s="36" t="s">
        <v>5</v>
      </c>
      <c r="F61" s="36" t="s">
        <v>5</v>
      </c>
      <c r="G61" s="254" t="s">
        <v>5</v>
      </c>
      <c r="H61" s="38">
        <f>SUM(H62:H65)</f>
        <v>0</v>
      </c>
      <c r="I61" s="38">
        <f>SUM(I62:I65)</f>
        <v>0</v>
      </c>
      <c r="J61" s="38">
        <f>SUM(J62:J65)</f>
        <v>0</v>
      </c>
      <c r="K61" s="39"/>
      <c r="L61" s="38">
        <f>SUM(L62:L65)</f>
        <v>11.354691889600002</v>
      </c>
      <c r="M61" s="39"/>
      <c r="N61" s="35"/>
      <c r="AI61" s="10"/>
      <c r="AS61" s="19">
        <f>SUM(AJ62:AJ65)</f>
        <v>0</v>
      </c>
      <c r="AT61" s="19">
        <f>SUM(AK62:AK65)</f>
        <v>0</v>
      </c>
      <c r="AU61" s="19">
        <f>SUM(AL62:AL65)</f>
        <v>0</v>
      </c>
    </row>
    <row r="62" spans="1:64" ht="12.75">
      <c r="A62" s="40" t="s">
        <v>47</v>
      </c>
      <c r="B62" s="40"/>
      <c r="C62" s="40" t="s">
        <v>123</v>
      </c>
      <c r="D62" s="53" t="s">
        <v>222</v>
      </c>
      <c r="E62" s="40" t="s">
        <v>278</v>
      </c>
      <c r="F62" s="41">
        <v>11.7924</v>
      </c>
      <c r="G62" s="253"/>
      <c r="H62" s="41">
        <f>F62*AO62</f>
        <v>0</v>
      </c>
      <c r="I62" s="41">
        <f>F62*AP62</f>
        <v>0</v>
      </c>
      <c r="J62" s="41">
        <f>F62*G62</f>
        <v>0</v>
      </c>
      <c r="K62" s="41">
        <v>0.28318</v>
      </c>
      <c r="L62" s="41">
        <f>F62*K62</f>
        <v>3.339371832</v>
      </c>
      <c r="M62" s="42"/>
      <c r="N62" s="35"/>
      <c r="Z62" s="14">
        <f>IF(AQ62="5",BJ62,0)</f>
        <v>0</v>
      </c>
      <c r="AB62" s="14">
        <f>IF(AQ62="1",BH62,0)</f>
        <v>0</v>
      </c>
      <c r="AC62" s="14">
        <f>IF(AQ62="1",BI62,0)</f>
        <v>0</v>
      </c>
      <c r="AD62" s="14">
        <f>IF(AQ62="7",BH62,0)</f>
        <v>0</v>
      </c>
      <c r="AE62" s="14">
        <f>IF(AQ62="7",BI62,0)</f>
        <v>0</v>
      </c>
      <c r="AF62" s="14">
        <f>IF(AQ62="2",BH62,0)</f>
        <v>0</v>
      </c>
      <c r="AG62" s="14">
        <f>IF(AQ62="2",BI62,0)</f>
        <v>0</v>
      </c>
      <c r="AH62" s="14">
        <f>IF(AQ62="0",BJ62,0)</f>
        <v>0</v>
      </c>
      <c r="AI62" s="10"/>
      <c r="AJ62" s="7">
        <f>IF(AN62=0,J62,0)</f>
        <v>0</v>
      </c>
      <c r="AK62" s="7">
        <f>IF(AN62=15,J62,0)</f>
        <v>0</v>
      </c>
      <c r="AL62" s="7">
        <f>IF(AN62=21,J62,0)</f>
        <v>0</v>
      </c>
      <c r="AN62" s="14">
        <v>21</v>
      </c>
      <c r="AO62" s="14">
        <f>G62*0.615932070106297</f>
        <v>0</v>
      </c>
      <c r="AP62" s="14">
        <f>G62*(1-0.615932070106297)</f>
        <v>0</v>
      </c>
      <c r="AQ62" s="15" t="s">
        <v>6</v>
      </c>
      <c r="AV62" s="14">
        <f>AW62+AX62</f>
        <v>0</v>
      </c>
      <c r="AW62" s="14">
        <f>F62*AO62</f>
        <v>0</v>
      </c>
      <c r="AX62" s="14">
        <f>F62*AP62</f>
        <v>0</v>
      </c>
      <c r="AY62" s="17" t="s">
        <v>318</v>
      </c>
      <c r="AZ62" s="17" t="s">
        <v>330</v>
      </c>
      <c r="BA62" s="10" t="s">
        <v>337</v>
      </c>
      <c r="BC62" s="14">
        <f>AW62+AX62</f>
        <v>0</v>
      </c>
      <c r="BD62" s="14">
        <f>G62/(100-BE62)*100</f>
        <v>0</v>
      </c>
      <c r="BE62" s="14">
        <v>0</v>
      </c>
      <c r="BF62" s="14">
        <f>L62</f>
        <v>3.339371832</v>
      </c>
      <c r="BH62" s="7">
        <f>F62*AO62</f>
        <v>0</v>
      </c>
      <c r="BI62" s="7">
        <f>F62*AP62</f>
        <v>0</v>
      </c>
      <c r="BJ62" s="7">
        <f>F62*G62</f>
        <v>0</v>
      </c>
      <c r="BK62" s="7" t="s">
        <v>342</v>
      </c>
      <c r="BL62" s="14">
        <v>34</v>
      </c>
    </row>
    <row r="63" spans="1:64" ht="12.75">
      <c r="A63" s="40" t="s">
        <v>48</v>
      </c>
      <c r="B63" s="40"/>
      <c r="C63" s="40" t="s">
        <v>123</v>
      </c>
      <c r="D63" s="53" t="s">
        <v>223</v>
      </c>
      <c r="E63" s="40" t="s">
        <v>278</v>
      </c>
      <c r="F63" s="41">
        <v>27.262</v>
      </c>
      <c r="G63" s="253"/>
      <c r="H63" s="41">
        <f>F63*AO63</f>
        <v>0</v>
      </c>
      <c r="I63" s="41">
        <f>F63*AP63</f>
        <v>0</v>
      </c>
      <c r="J63" s="41">
        <f>F63*G63</f>
        <v>0</v>
      </c>
      <c r="K63" s="41">
        <v>0.28318</v>
      </c>
      <c r="L63" s="41">
        <f>F63*K63</f>
        <v>7.72005316</v>
      </c>
      <c r="M63" s="42"/>
      <c r="N63" s="35"/>
      <c r="Z63" s="14">
        <f>IF(AQ63="5",BJ63,0)</f>
        <v>0</v>
      </c>
      <c r="AB63" s="14">
        <f>IF(AQ63="1",BH63,0)</f>
        <v>0</v>
      </c>
      <c r="AC63" s="14">
        <f>IF(AQ63="1",BI63,0)</f>
        <v>0</v>
      </c>
      <c r="AD63" s="14">
        <f>IF(AQ63="7",BH63,0)</f>
        <v>0</v>
      </c>
      <c r="AE63" s="14">
        <f>IF(AQ63="7",BI63,0)</f>
        <v>0</v>
      </c>
      <c r="AF63" s="14">
        <f>IF(AQ63="2",BH63,0)</f>
        <v>0</v>
      </c>
      <c r="AG63" s="14">
        <f>IF(AQ63="2",BI63,0)</f>
        <v>0</v>
      </c>
      <c r="AH63" s="14">
        <f>IF(AQ63="0",BJ63,0)</f>
        <v>0</v>
      </c>
      <c r="AI63" s="10"/>
      <c r="AJ63" s="7">
        <f>IF(AN63=0,J63,0)</f>
        <v>0</v>
      </c>
      <c r="AK63" s="7">
        <f>IF(AN63=15,J63,0)</f>
        <v>0</v>
      </c>
      <c r="AL63" s="7">
        <f>IF(AN63=21,J63,0)</f>
        <v>0</v>
      </c>
      <c r="AN63" s="14">
        <v>21</v>
      </c>
      <c r="AO63" s="14">
        <f>G63*0.615932140087911</f>
        <v>0</v>
      </c>
      <c r="AP63" s="14">
        <f>G63*(1-0.615932140087911)</f>
        <v>0</v>
      </c>
      <c r="AQ63" s="15" t="s">
        <v>6</v>
      </c>
      <c r="AV63" s="14">
        <f>AW63+AX63</f>
        <v>0</v>
      </c>
      <c r="AW63" s="14">
        <f>F63*AO63</f>
        <v>0</v>
      </c>
      <c r="AX63" s="14">
        <f>F63*AP63</f>
        <v>0</v>
      </c>
      <c r="AY63" s="17" t="s">
        <v>318</v>
      </c>
      <c r="AZ63" s="17" t="s">
        <v>330</v>
      </c>
      <c r="BA63" s="10" t="s">
        <v>337</v>
      </c>
      <c r="BC63" s="14">
        <f>AW63+AX63</f>
        <v>0</v>
      </c>
      <c r="BD63" s="14">
        <f>G63/(100-BE63)*100</f>
        <v>0</v>
      </c>
      <c r="BE63" s="14">
        <v>0</v>
      </c>
      <c r="BF63" s="14">
        <f>L63</f>
        <v>7.72005316</v>
      </c>
      <c r="BH63" s="7">
        <f>F63*AO63</f>
        <v>0</v>
      </c>
      <c r="BI63" s="7">
        <f>F63*AP63</f>
        <v>0</v>
      </c>
      <c r="BJ63" s="7">
        <f>F63*G63</f>
        <v>0</v>
      </c>
      <c r="BK63" s="7" t="s">
        <v>342</v>
      </c>
      <c r="BL63" s="14">
        <v>34</v>
      </c>
    </row>
    <row r="64" spans="1:64" ht="12.75">
      <c r="A64" s="40" t="s">
        <v>49</v>
      </c>
      <c r="B64" s="40"/>
      <c r="C64" s="40" t="s">
        <v>124</v>
      </c>
      <c r="D64" s="53" t="s">
        <v>224</v>
      </c>
      <c r="E64" s="40" t="s">
        <v>277</v>
      </c>
      <c r="F64" s="60">
        <v>0.11068</v>
      </c>
      <c r="G64" s="253"/>
      <c r="H64" s="41">
        <f>F64*AO64</f>
        <v>0</v>
      </c>
      <c r="I64" s="41">
        <f>F64*AP64</f>
        <v>0</v>
      </c>
      <c r="J64" s="41">
        <f>F64*G64</f>
        <v>0</v>
      </c>
      <c r="K64" s="41">
        <v>1.00349</v>
      </c>
      <c r="L64" s="41">
        <f>F64*K64</f>
        <v>0.1110662732</v>
      </c>
      <c r="M64" s="42"/>
      <c r="N64" s="35"/>
      <c r="Z64" s="14">
        <f>IF(AQ64="5",BJ64,0)</f>
        <v>0</v>
      </c>
      <c r="AB64" s="14">
        <f>IF(AQ64="1",BH64,0)</f>
        <v>0</v>
      </c>
      <c r="AC64" s="14">
        <f>IF(AQ64="1",BI64,0)</f>
        <v>0</v>
      </c>
      <c r="AD64" s="14">
        <f>IF(AQ64="7",BH64,0)</f>
        <v>0</v>
      </c>
      <c r="AE64" s="14">
        <f>IF(AQ64="7",BI64,0)</f>
        <v>0</v>
      </c>
      <c r="AF64" s="14">
        <f>IF(AQ64="2",BH64,0)</f>
        <v>0</v>
      </c>
      <c r="AG64" s="14">
        <f>IF(AQ64="2",BI64,0)</f>
        <v>0</v>
      </c>
      <c r="AH64" s="14">
        <f>IF(AQ64="0",BJ64,0)</f>
        <v>0</v>
      </c>
      <c r="AI64" s="10"/>
      <c r="AJ64" s="7">
        <f>IF(AN64=0,J64,0)</f>
        <v>0</v>
      </c>
      <c r="AK64" s="7">
        <f>IF(AN64=15,J64,0)</f>
        <v>0</v>
      </c>
      <c r="AL64" s="7">
        <f>IF(AN64=21,J64,0)</f>
        <v>0</v>
      </c>
      <c r="AN64" s="14">
        <v>21</v>
      </c>
      <c r="AO64" s="14">
        <f>G64*0.533723336799759</f>
        <v>0</v>
      </c>
      <c r="AP64" s="14">
        <f>G64*(1-0.533723336799759)</f>
        <v>0</v>
      </c>
      <c r="AQ64" s="15" t="s">
        <v>6</v>
      </c>
      <c r="AV64" s="14">
        <f>AW64+AX64</f>
        <v>0</v>
      </c>
      <c r="AW64" s="14">
        <f>F64*AO64</f>
        <v>0</v>
      </c>
      <c r="AX64" s="14">
        <f>F64*AP64</f>
        <v>0</v>
      </c>
      <c r="AY64" s="17" t="s">
        <v>318</v>
      </c>
      <c r="AZ64" s="17" t="s">
        <v>330</v>
      </c>
      <c r="BA64" s="10" t="s">
        <v>337</v>
      </c>
      <c r="BC64" s="14">
        <f>AW64+AX64</f>
        <v>0</v>
      </c>
      <c r="BD64" s="14">
        <f>G64/(100-BE64)*100</f>
        <v>0</v>
      </c>
      <c r="BE64" s="14">
        <v>0</v>
      </c>
      <c r="BF64" s="14">
        <f>L64</f>
        <v>0.1110662732</v>
      </c>
      <c r="BH64" s="7">
        <f>F64*AO64</f>
        <v>0</v>
      </c>
      <c r="BI64" s="7">
        <f>F64*AP64</f>
        <v>0</v>
      </c>
      <c r="BJ64" s="7">
        <f>F64*G64</f>
        <v>0</v>
      </c>
      <c r="BK64" s="7" t="s">
        <v>342</v>
      </c>
      <c r="BL64" s="14">
        <v>34</v>
      </c>
    </row>
    <row r="65" spans="1:64" ht="12.75">
      <c r="A65" s="40" t="s">
        <v>50</v>
      </c>
      <c r="B65" s="40"/>
      <c r="C65" s="40" t="s">
        <v>124</v>
      </c>
      <c r="D65" s="53" t="s">
        <v>225</v>
      </c>
      <c r="E65" s="40" t="s">
        <v>277</v>
      </c>
      <c r="F65" s="60">
        <v>0.18356</v>
      </c>
      <c r="G65" s="253"/>
      <c r="H65" s="41">
        <f>F65*AO65</f>
        <v>0</v>
      </c>
      <c r="I65" s="41">
        <f>F65*AP65</f>
        <v>0</v>
      </c>
      <c r="J65" s="41">
        <f>F65*G65</f>
        <v>0</v>
      </c>
      <c r="K65" s="41">
        <v>1.00349</v>
      </c>
      <c r="L65" s="41">
        <f>F65*K65</f>
        <v>0.1842006244</v>
      </c>
      <c r="M65" s="42"/>
      <c r="N65" s="35"/>
      <c r="Z65" s="14">
        <f>IF(AQ65="5",BJ65,0)</f>
        <v>0</v>
      </c>
      <c r="AB65" s="14">
        <f>IF(AQ65="1",BH65,0)</f>
        <v>0</v>
      </c>
      <c r="AC65" s="14">
        <f>IF(AQ65="1",BI65,0)</f>
        <v>0</v>
      </c>
      <c r="AD65" s="14">
        <f>IF(AQ65="7",BH65,0)</f>
        <v>0</v>
      </c>
      <c r="AE65" s="14">
        <f>IF(AQ65="7",BI65,0)</f>
        <v>0</v>
      </c>
      <c r="AF65" s="14">
        <f>IF(AQ65="2",BH65,0)</f>
        <v>0</v>
      </c>
      <c r="AG65" s="14">
        <f>IF(AQ65="2",BI65,0)</f>
        <v>0</v>
      </c>
      <c r="AH65" s="14">
        <f>IF(AQ65="0",BJ65,0)</f>
        <v>0</v>
      </c>
      <c r="AI65" s="10"/>
      <c r="AJ65" s="7">
        <f>IF(AN65=0,J65,0)</f>
        <v>0</v>
      </c>
      <c r="AK65" s="7">
        <f>IF(AN65=15,J65,0)</f>
        <v>0</v>
      </c>
      <c r="AL65" s="7">
        <f>IF(AN65=21,J65,0)</f>
        <v>0</v>
      </c>
      <c r="AN65" s="14">
        <v>21</v>
      </c>
      <c r="AO65" s="14">
        <f>G65*0.533722824182765</f>
        <v>0</v>
      </c>
      <c r="AP65" s="14">
        <f>G65*(1-0.533722824182765)</f>
        <v>0</v>
      </c>
      <c r="AQ65" s="15" t="s">
        <v>6</v>
      </c>
      <c r="AV65" s="14">
        <f>AW65+AX65</f>
        <v>0</v>
      </c>
      <c r="AW65" s="14">
        <f>F65*AO65</f>
        <v>0</v>
      </c>
      <c r="AX65" s="14">
        <f>F65*AP65</f>
        <v>0</v>
      </c>
      <c r="AY65" s="17" t="s">
        <v>318</v>
      </c>
      <c r="AZ65" s="17" t="s">
        <v>330</v>
      </c>
      <c r="BA65" s="10" t="s">
        <v>337</v>
      </c>
      <c r="BC65" s="14">
        <f>AW65+AX65</f>
        <v>0</v>
      </c>
      <c r="BD65" s="14">
        <f>G65/(100-BE65)*100</f>
        <v>0</v>
      </c>
      <c r="BE65" s="14">
        <v>0</v>
      </c>
      <c r="BF65" s="14">
        <f>L65</f>
        <v>0.1842006244</v>
      </c>
      <c r="BH65" s="7">
        <f>F65*AO65</f>
        <v>0</v>
      </c>
      <c r="BI65" s="7">
        <f>F65*AP65</f>
        <v>0</v>
      </c>
      <c r="BJ65" s="7">
        <f>F65*G65</f>
        <v>0</v>
      </c>
      <c r="BK65" s="7" t="s">
        <v>342</v>
      </c>
      <c r="BL65" s="14">
        <v>34</v>
      </c>
    </row>
    <row r="66" spans="1:47" ht="12.75">
      <c r="A66" s="36"/>
      <c r="B66" s="37"/>
      <c r="C66" s="37" t="s">
        <v>61</v>
      </c>
      <c r="D66" s="52" t="s">
        <v>226</v>
      </c>
      <c r="E66" s="36" t="s">
        <v>5</v>
      </c>
      <c r="F66" s="36" t="s">
        <v>5</v>
      </c>
      <c r="G66" s="254" t="s">
        <v>5</v>
      </c>
      <c r="H66" s="38">
        <f>SUM(H67:H69)</f>
        <v>0</v>
      </c>
      <c r="I66" s="38">
        <f>SUM(I67:I69)</f>
        <v>0</v>
      </c>
      <c r="J66" s="38">
        <f>SUM(J67:J69)</f>
        <v>0</v>
      </c>
      <c r="K66" s="39"/>
      <c r="L66" s="38">
        <f>SUM(L67:L69)</f>
        <v>8.963519999999999</v>
      </c>
      <c r="M66" s="39"/>
      <c r="N66" s="35"/>
      <c r="AI66" s="10"/>
      <c r="AS66" s="19">
        <f>SUM(AJ67:AJ69)</f>
        <v>0</v>
      </c>
      <c r="AT66" s="19">
        <f>SUM(AK67:AK69)</f>
        <v>0</v>
      </c>
      <c r="AU66" s="19">
        <f>SUM(AL67:AL69)</f>
        <v>0</v>
      </c>
    </row>
    <row r="67" spans="1:64" ht="12.75">
      <c r="A67" s="40" t="s">
        <v>51</v>
      </c>
      <c r="B67" s="40"/>
      <c r="C67" s="40" t="s">
        <v>125</v>
      </c>
      <c r="D67" s="53" t="s">
        <v>227</v>
      </c>
      <c r="E67" s="40" t="s">
        <v>278</v>
      </c>
      <c r="F67" s="41">
        <v>12</v>
      </c>
      <c r="G67" s="253"/>
      <c r="H67" s="41">
        <f>F67*AO67</f>
        <v>0</v>
      </c>
      <c r="I67" s="41">
        <f>F67*AP67</f>
        <v>0</v>
      </c>
      <c r="J67" s="41">
        <f>F67*G67</f>
        <v>0</v>
      </c>
      <c r="K67" s="41">
        <v>0.08096</v>
      </c>
      <c r="L67" s="41">
        <f>F67*K67</f>
        <v>0.97152</v>
      </c>
      <c r="M67" s="42"/>
      <c r="N67" s="35"/>
      <c r="Z67" s="14">
        <f>IF(AQ67="5",BJ67,0)</f>
        <v>0</v>
      </c>
      <c r="AB67" s="14">
        <f>IF(AQ67="1",BH67,0)</f>
        <v>0</v>
      </c>
      <c r="AC67" s="14">
        <f>IF(AQ67="1",BI67,0)</f>
        <v>0</v>
      </c>
      <c r="AD67" s="14">
        <f>IF(AQ67="7",BH67,0)</f>
        <v>0</v>
      </c>
      <c r="AE67" s="14">
        <f>IF(AQ67="7",BI67,0)</f>
        <v>0</v>
      </c>
      <c r="AF67" s="14">
        <f>IF(AQ67="2",BH67,0)</f>
        <v>0</v>
      </c>
      <c r="AG67" s="14">
        <f>IF(AQ67="2",BI67,0)</f>
        <v>0</v>
      </c>
      <c r="AH67" s="14">
        <f>IF(AQ67="0",BJ67,0)</f>
        <v>0</v>
      </c>
      <c r="AI67" s="10"/>
      <c r="AJ67" s="7">
        <f>IF(AN67=0,J67,0)</f>
        <v>0</v>
      </c>
      <c r="AK67" s="7">
        <f>IF(AN67=15,J67,0)</f>
        <v>0</v>
      </c>
      <c r="AL67" s="7">
        <f>IF(AN67=21,J67,0)</f>
        <v>0</v>
      </c>
      <c r="AN67" s="14">
        <v>21</v>
      </c>
      <c r="AO67" s="14">
        <f>G67*0.676060903732809</f>
        <v>0</v>
      </c>
      <c r="AP67" s="14">
        <f>G67*(1-0.676060903732809)</f>
        <v>0</v>
      </c>
      <c r="AQ67" s="15" t="s">
        <v>6</v>
      </c>
      <c r="AV67" s="14">
        <f>AW67+AX67</f>
        <v>0</v>
      </c>
      <c r="AW67" s="14">
        <f>F67*AO67</f>
        <v>0</v>
      </c>
      <c r="AX67" s="14">
        <f>F67*AP67</f>
        <v>0</v>
      </c>
      <c r="AY67" s="17" t="s">
        <v>319</v>
      </c>
      <c r="AZ67" s="17" t="s">
        <v>331</v>
      </c>
      <c r="BA67" s="10" t="s">
        <v>337</v>
      </c>
      <c r="BC67" s="14">
        <f>AW67+AX67</f>
        <v>0</v>
      </c>
      <c r="BD67" s="14">
        <f>G67/(100-BE67)*100</f>
        <v>0</v>
      </c>
      <c r="BE67" s="14">
        <v>0</v>
      </c>
      <c r="BF67" s="14">
        <f>L67</f>
        <v>0.97152</v>
      </c>
      <c r="BH67" s="7">
        <f>F67*AO67</f>
        <v>0</v>
      </c>
      <c r="BI67" s="7">
        <f>F67*AP67</f>
        <v>0</v>
      </c>
      <c r="BJ67" s="7">
        <f>F67*G67</f>
        <v>0</v>
      </c>
      <c r="BK67" s="7" t="s">
        <v>342</v>
      </c>
      <c r="BL67" s="14">
        <v>56</v>
      </c>
    </row>
    <row r="68" spans="1:64" ht="12.75">
      <c r="A68" s="40" t="s">
        <v>52</v>
      </c>
      <c r="B68" s="40"/>
      <c r="C68" s="40" t="s">
        <v>126</v>
      </c>
      <c r="D68" s="53" t="s">
        <v>228</v>
      </c>
      <c r="E68" s="40" t="s">
        <v>278</v>
      </c>
      <c r="F68" s="41">
        <v>12</v>
      </c>
      <c r="G68" s="253"/>
      <c r="H68" s="41">
        <f>F68*AO68</f>
        <v>0</v>
      </c>
      <c r="I68" s="41">
        <f>F68*AP68</f>
        <v>0</v>
      </c>
      <c r="J68" s="41">
        <f>F68*G68</f>
        <v>0</v>
      </c>
      <c r="K68" s="41">
        <v>0.288</v>
      </c>
      <c r="L68" s="41">
        <f>F68*K68</f>
        <v>3.4559999999999995</v>
      </c>
      <c r="M68" s="42"/>
      <c r="N68" s="35"/>
      <c r="Z68" s="14">
        <f>IF(AQ68="5",BJ68,0)</f>
        <v>0</v>
      </c>
      <c r="AB68" s="14">
        <f>IF(AQ68="1",BH68,0)</f>
        <v>0</v>
      </c>
      <c r="AC68" s="14">
        <f>IF(AQ68="1",BI68,0)</f>
        <v>0</v>
      </c>
      <c r="AD68" s="14">
        <f>IF(AQ68="7",BH68,0)</f>
        <v>0</v>
      </c>
      <c r="AE68" s="14">
        <f>IF(AQ68="7",BI68,0)</f>
        <v>0</v>
      </c>
      <c r="AF68" s="14">
        <f>IF(AQ68="2",BH68,0)</f>
        <v>0</v>
      </c>
      <c r="AG68" s="14">
        <f>IF(AQ68="2",BI68,0)</f>
        <v>0</v>
      </c>
      <c r="AH68" s="14">
        <f>IF(AQ68="0",BJ68,0)</f>
        <v>0</v>
      </c>
      <c r="AI68" s="10"/>
      <c r="AJ68" s="7">
        <f>IF(AN68=0,J68,0)</f>
        <v>0</v>
      </c>
      <c r="AK68" s="7">
        <f>IF(AN68=15,J68,0)</f>
        <v>0</v>
      </c>
      <c r="AL68" s="7">
        <f>IF(AN68=21,J68,0)</f>
        <v>0</v>
      </c>
      <c r="AN68" s="14">
        <v>21</v>
      </c>
      <c r="AO68" s="14">
        <f>G68*0.839555555555556</f>
        <v>0</v>
      </c>
      <c r="AP68" s="14">
        <f>G68*(1-0.839555555555556)</f>
        <v>0</v>
      </c>
      <c r="AQ68" s="15" t="s">
        <v>6</v>
      </c>
      <c r="AV68" s="14">
        <f>AW68+AX68</f>
        <v>0</v>
      </c>
      <c r="AW68" s="14">
        <f>F68*AO68</f>
        <v>0</v>
      </c>
      <c r="AX68" s="14">
        <f>F68*AP68</f>
        <v>0</v>
      </c>
      <c r="AY68" s="17" t="s">
        <v>319</v>
      </c>
      <c r="AZ68" s="17" t="s">
        <v>331</v>
      </c>
      <c r="BA68" s="10" t="s">
        <v>337</v>
      </c>
      <c r="BC68" s="14">
        <f>AW68+AX68</f>
        <v>0</v>
      </c>
      <c r="BD68" s="14">
        <f>G68/(100-BE68)*100</f>
        <v>0</v>
      </c>
      <c r="BE68" s="14">
        <v>0</v>
      </c>
      <c r="BF68" s="14">
        <f>L68</f>
        <v>3.4559999999999995</v>
      </c>
      <c r="BH68" s="7">
        <f>F68*AO68</f>
        <v>0</v>
      </c>
      <c r="BI68" s="7">
        <f>F68*AP68</f>
        <v>0</v>
      </c>
      <c r="BJ68" s="7">
        <f>F68*G68</f>
        <v>0</v>
      </c>
      <c r="BK68" s="7" t="s">
        <v>342</v>
      </c>
      <c r="BL68" s="14">
        <v>56</v>
      </c>
    </row>
    <row r="69" spans="1:64" ht="12.75">
      <c r="A69" s="40" t="s">
        <v>53</v>
      </c>
      <c r="B69" s="40"/>
      <c r="C69" s="40" t="s">
        <v>127</v>
      </c>
      <c r="D69" s="53" t="s">
        <v>229</v>
      </c>
      <c r="E69" s="40" t="s">
        <v>278</v>
      </c>
      <c r="F69" s="41">
        <v>12</v>
      </c>
      <c r="G69" s="253"/>
      <c r="H69" s="41">
        <f>F69*AO69</f>
        <v>0</v>
      </c>
      <c r="I69" s="41">
        <f>F69*AP69</f>
        <v>0</v>
      </c>
      <c r="J69" s="41">
        <f>F69*G69</f>
        <v>0</v>
      </c>
      <c r="K69" s="41">
        <v>0.378</v>
      </c>
      <c r="L69" s="41">
        <f>F69*K69</f>
        <v>4.536</v>
      </c>
      <c r="M69" s="42"/>
      <c r="N69" s="35"/>
      <c r="Z69" s="14">
        <f>IF(AQ69="5",BJ69,0)</f>
        <v>0</v>
      </c>
      <c r="AB69" s="14">
        <f>IF(AQ69="1",BH69,0)</f>
        <v>0</v>
      </c>
      <c r="AC69" s="14">
        <f>IF(AQ69="1",BI69,0)</f>
        <v>0</v>
      </c>
      <c r="AD69" s="14">
        <f>IF(AQ69="7",BH69,0)</f>
        <v>0</v>
      </c>
      <c r="AE69" s="14">
        <f>IF(AQ69="7",BI69,0)</f>
        <v>0</v>
      </c>
      <c r="AF69" s="14">
        <f>IF(AQ69="2",BH69,0)</f>
        <v>0</v>
      </c>
      <c r="AG69" s="14">
        <f>IF(AQ69="2",BI69,0)</f>
        <v>0</v>
      </c>
      <c r="AH69" s="14">
        <f>IF(AQ69="0",BJ69,0)</f>
        <v>0</v>
      </c>
      <c r="AI69" s="10"/>
      <c r="AJ69" s="7">
        <f>IF(AN69=0,J69,0)</f>
        <v>0</v>
      </c>
      <c r="AK69" s="7">
        <f>IF(AN69=15,J69,0)</f>
        <v>0</v>
      </c>
      <c r="AL69" s="7">
        <f>IF(AN69=21,J69,0)</f>
        <v>0</v>
      </c>
      <c r="AN69" s="14">
        <v>21</v>
      </c>
      <c r="AO69" s="14">
        <f>G69*0.853390804597701</f>
        <v>0</v>
      </c>
      <c r="AP69" s="14">
        <f>G69*(1-0.853390804597701)</f>
        <v>0</v>
      </c>
      <c r="AQ69" s="15" t="s">
        <v>6</v>
      </c>
      <c r="AV69" s="14">
        <f>AW69+AX69</f>
        <v>0</v>
      </c>
      <c r="AW69" s="14">
        <f>F69*AO69</f>
        <v>0</v>
      </c>
      <c r="AX69" s="14">
        <f>F69*AP69</f>
        <v>0</v>
      </c>
      <c r="AY69" s="17" t="s">
        <v>319</v>
      </c>
      <c r="AZ69" s="17" t="s">
        <v>331</v>
      </c>
      <c r="BA69" s="10" t="s">
        <v>337</v>
      </c>
      <c r="BC69" s="14">
        <f>AW69+AX69</f>
        <v>0</v>
      </c>
      <c r="BD69" s="14">
        <f>G69/(100-BE69)*100</f>
        <v>0</v>
      </c>
      <c r="BE69" s="14">
        <v>0</v>
      </c>
      <c r="BF69" s="14">
        <f>L69</f>
        <v>4.536</v>
      </c>
      <c r="BH69" s="7">
        <f>F69*AO69</f>
        <v>0</v>
      </c>
      <c r="BI69" s="7">
        <f>F69*AP69</f>
        <v>0</v>
      </c>
      <c r="BJ69" s="7">
        <f>F69*G69</f>
        <v>0</v>
      </c>
      <c r="BK69" s="7" t="s">
        <v>342</v>
      </c>
      <c r="BL69" s="14">
        <v>56</v>
      </c>
    </row>
    <row r="70" spans="1:47" ht="12.75">
      <c r="A70" s="36"/>
      <c r="B70" s="37"/>
      <c r="C70" s="37" t="s">
        <v>68</v>
      </c>
      <c r="D70" s="52" t="s">
        <v>230</v>
      </c>
      <c r="E70" s="36" t="s">
        <v>5</v>
      </c>
      <c r="F70" s="36" t="s">
        <v>5</v>
      </c>
      <c r="G70" s="254" t="s">
        <v>5</v>
      </c>
      <c r="H70" s="38">
        <f>SUM(H71:H73)</f>
        <v>0</v>
      </c>
      <c r="I70" s="38">
        <f>SUM(I71:I73)</f>
        <v>0</v>
      </c>
      <c r="J70" s="38">
        <f>SUM(J71:J73)</f>
        <v>0</v>
      </c>
      <c r="K70" s="39"/>
      <c r="L70" s="38">
        <f>SUM(L71:L73)</f>
        <v>1.9113665125</v>
      </c>
      <c r="M70" s="39"/>
      <c r="N70" s="35"/>
      <c r="AI70" s="10"/>
      <c r="AS70" s="19">
        <f>SUM(AJ71:AJ73)</f>
        <v>0</v>
      </c>
      <c r="AT70" s="19">
        <f>SUM(AK71:AK73)</f>
        <v>0</v>
      </c>
      <c r="AU70" s="19">
        <f>SUM(AL71:AL73)</f>
        <v>0</v>
      </c>
    </row>
    <row r="71" spans="1:64" ht="12.75">
      <c r="A71" s="43" t="s">
        <v>54</v>
      </c>
      <c r="B71" s="43"/>
      <c r="C71" s="43" t="s">
        <v>128</v>
      </c>
      <c r="D71" s="54" t="s">
        <v>231</v>
      </c>
      <c r="E71" s="43" t="s">
        <v>278</v>
      </c>
      <c r="F71" s="44">
        <v>14.18875</v>
      </c>
      <c r="G71" s="253"/>
      <c r="H71" s="44">
        <f>F71*AO71</f>
        <v>0</v>
      </c>
      <c r="I71" s="44">
        <f>F71*AP71</f>
        <v>0</v>
      </c>
      <c r="J71" s="44">
        <f>F71*G71</f>
        <v>0</v>
      </c>
      <c r="K71" s="44">
        <v>0.12625</v>
      </c>
      <c r="L71" s="44">
        <f>F71*K71</f>
        <v>1.7913296875</v>
      </c>
      <c r="M71" s="45"/>
      <c r="N71" s="35"/>
      <c r="Z71" s="14">
        <f>IF(AQ71="5",BJ71,0)</f>
        <v>0</v>
      </c>
      <c r="AB71" s="14">
        <f>IF(AQ71="1",BH71,0)</f>
        <v>0</v>
      </c>
      <c r="AC71" s="14">
        <f>IF(AQ71="1",BI71,0)</f>
        <v>0</v>
      </c>
      <c r="AD71" s="14">
        <f>IF(AQ71="7",BH71,0)</f>
        <v>0</v>
      </c>
      <c r="AE71" s="14">
        <f>IF(AQ71="7",BI71,0)</f>
        <v>0</v>
      </c>
      <c r="AF71" s="14">
        <f>IF(AQ71="2",BH71,0)</f>
        <v>0</v>
      </c>
      <c r="AG71" s="14">
        <f>IF(AQ71="2",BI71,0)</f>
        <v>0</v>
      </c>
      <c r="AH71" s="14">
        <f>IF(AQ71="0",BJ71,0)</f>
        <v>0</v>
      </c>
      <c r="AI71" s="10"/>
      <c r="AJ71" s="7">
        <f>IF(AN71=0,J71,0)</f>
        <v>0</v>
      </c>
      <c r="AK71" s="7">
        <f>IF(AN71=15,J71,0)</f>
        <v>0</v>
      </c>
      <c r="AL71" s="7">
        <f>IF(AN71=21,J71,0)</f>
        <v>0</v>
      </c>
      <c r="AN71" s="14">
        <v>21</v>
      </c>
      <c r="AO71" s="14">
        <f>G71*0.531999806232751</f>
        <v>0</v>
      </c>
      <c r="AP71" s="14">
        <f>G71*(1-0.531999806232751)</f>
        <v>0</v>
      </c>
      <c r="AQ71" s="15" t="s">
        <v>6</v>
      </c>
      <c r="AV71" s="14">
        <f>AW71+AX71</f>
        <v>0</v>
      </c>
      <c r="AW71" s="14">
        <f>F71*AO71</f>
        <v>0</v>
      </c>
      <c r="AX71" s="14">
        <f>F71*AP71</f>
        <v>0</v>
      </c>
      <c r="AY71" s="17" t="s">
        <v>320</v>
      </c>
      <c r="AZ71" s="17" t="s">
        <v>332</v>
      </c>
      <c r="BA71" s="10" t="s">
        <v>337</v>
      </c>
      <c r="BC71" s="14">
        <f>AW71+AX71</f>
        <v>0</v>
      </c>
      <c r="BD71" s="14">
        <f>G71/(100-BE71)*100</f>
        <v>0</v>
      </c>
      <c r="BE71" s="14">
        <v>0</v>
      </c>
      <c r="BF71" s="14">
        <f>L71</f>
        <v>1.7913296875</v>
      </c>
      <c r="BH71" s="7">
        <f>F71*AO71</f>
        <v>0</v>
      </c>
      <c r="BI71" s="7">
        <f>F71*AP71</f>
        <v>0</v>
      </c>
      <c r="BJ71" s="7">
        <f>F71*G71</f>
        <v>0</v>
      </c>
      <c r="BK71" s="7" t="s">
        <v>342</v>
      </c>
      <c r="BL71" s="14">
        <v>63</v>
      </c>
    </row>
    <row r="72" spans="1:64" ht="12.75">
      <c r="A72" s="40" t="s">
        <v>55</v>
      </c>
      <c r="B72" s="40"/>
      <c r="C72" s="40" t="s">
        <v>129</v>
      </c>
      <c r="D72" s="53" t="s">
        <v>232</v>
      </c>
      <c r="E72" s="40" t="s">
        <v>278</v>
      </c>
      <c r="F72" s="41">
        <v>8.51325</v>
      </c>
      <c r="G72" s="253"/>
      <c r="H72" s="41">
        <f>F72*AO72</f>
        <v>0</v>
      </c>
      <c r="I72" s="41">
        <f>F72*AP72</f>
        <v>0</v>
      </c>
      <c r="J72" s="41">
        <f>F72*G72</f>
        <v>0</v>
      </c>
      <c r="K72" s="41">
        <v>0.0141</v>
      </c>
      <c r="L72" s="41">
        <f>F72*K72</f>
        <v>0.12003682499999999</v>
      </c>
      <c r="M72" s="42"/>
      <c r="N72" s="35"/>
      <c r="Z72" s="14">
        <f>IF(AQ72="5",BJ72,0)</f>
        <v>0</v>
      </c>
      <c r="AB72" s="14">
        <f>IF(AQ72="1",BH72,0)</f>
        <v>0</v>
      </c>
      <c r="AC72" s="14">
        <f>IF(AQ72="1",BI72,0)</f>
        <v>0</v>
      </c>
      <c r="AD72" s="14">
        <f>IF(AQ72="7",BH72,0)</f>
        <v>0</v>
      </c>
      <c r="AE72" s="14">
        <f>IF(AQ72="7",BI72,0)</f>
        <v>0</v>
      </c>
      <c r="AF72" s="14">
        <f>IF(AQ72="2",BH72,0)</f>
        <v>0</v>
      </c>
      <c r="AG72" s="14">
        <f>IF(AQ72="2",BI72,0)</f>
        <v>0</v>
      </c>
      <c r="AH72" s="14">
        <f>IF(AQ72="0",BJ72,0)</f>
        <v>0</v>
      </c>
      <c r="AI72" s="10"/>
      <c r="AJ72" s="7">
        <f>IF(AN72=0,J72,0)</f>
        <v>0</v>
      </c>
      <c r="AK72" s="7">
        <f>IF(AN72=15,J72,0)</f>
        <v>0</v>
      </c>
      <c r="AL72" s="7">
        <f>IF(AN72=21,J72,0)</f>
        <v>0</v>
      </c>
      <c r="AN72" s="14">
        <v>21</v>
      </c>
      <c r="AO72" s="14">
        <f>G72*0.411183600715655</f>
        <v>0</v>
      </c>
      <c r="AP72" s="14">
        <f>G72*(1-0.411183600715655)</f>
        <v>0</v>
      </c>
      <c r="AQ72" s="15" t="s">
        <v>6</v>
      </c>
      <c r="AV72" s="14">
        <f>AW72+AX72</f>
        <v>0</v>
      </c>
      <c r="AW72" s="14">
        <f>F72*AO72</f>
        <v>0</v>
      </c>
      <c r="AX72" s="14">
        <f>F72*AP72</f>
        <v>0</v>
      </c>
      <c r="AY72" s="17" t="s">
        <v>320</v>
      </c>
      <c r="AZ72" s="17" t="s">
        <v>332</v>
      </c>
      <c r="BA72" s="10" t="s">
        <v>337</v>
      </c>
      <c r="BC72" s="14">
        <f>AW72+AX72</f>
        <v>0</v>
      </c>
      <c r="BD72" s="14">
        <f>G72/(100-BE72)*100</f>
        <v>0</v>
      </c>
      <c r="BE72" s="14">
        <v>0</v>
      </c>
      <c r="BF72" s="14">
        <f>L72</f>
        <v>0.12003682499999999</v>
      </c>
      <c r="BH72" s="7">
        <f>F72*AO72</f>
        <v>0</v>
      </c>
      <c r="BI72" s="7">
        <f>F72*AP72</f>
        <v>0</v>
      </c>
      <c r="BJ72" s="7">
        <f>F72*G72</f>
        <v>0</v>
      </c>
      <c r="BK72" s="7" t="s">
        <v>342</v>
      </c>
      <c r="BL72" s="14">
        <v>63</v>
      </c>
    </row>
    <row r="73" spans="1:64" ht="12.75">
      <c r="A73" s="40" t="s">
        <v>56</v>
      </c>
      <c r="B73" s="40"/>
      <c r="C73" s="40" t="s">
        <v>130</v>
      </c>
      <c r="D73" s="53" t="s">
        <v>233</v>
      </c>
      <c r="E73" s="40" t="s">
        <v>278</v>
      </c>
      <c r="F73" s="41">
        <v>8.5123</v>
      </c>
      <c r="G73" s="253"/>
      <c r="H73" s="41">
        <f>F73*AO73</f>
        <v>0</v>
      </c>
      <c r="I73" s="41">
        <f>F73*AP73</f>
        <v>0</v>
      </c>
      <c r="J73" s="41">
        <f>F73*G73</f>
        <v>0</v>
      </c>
      <c r="K73" s="41">
        <v>0</v>
      </c>
      <c r="L73" s="41">
        <f>F73*K73</f>
        <v>0</v>
      </c>
      <c r="M73" s="42"/>
      <c r="N73" s="35"/>
      <c r="Z73" s="14">
        <f>IF(AQ73="5",BJ73,0)</f>
        <v>0</v>
      </c>
      <c r="AB73" s="14">
        <f>IF(AQ73="1",BH73,0)</f>
        <v>0</v>
      </c>
      <c r="AC73" s="14">
        <f>IF(AQ73="1",BI73,0)</f>
        <v>0</v>
      </c>
      <c r="AD73" s="14">
        <f>IF(AQ73="7",BH73,0)</f>
        <v>0</v>
      </c>
      <c r="AE73" s="14">
        <f>IF(AQ73="7",BI73,0)</f>
        <v>0</v>
      </c>
      <c r="AF73" s="14">
        <f>IF(AQ73="2",BH73,0)</f>
        <v>0</v>
      </c>
      <c r="AG73" s="14">
        <f>IF(AQ73="2",BI73,0)</f>
        <v>0</v>
      </c>
      <c r="AH73" s="14">
        <f>IF(AQ73="0",BJ73,0)</f>
        <v>0</v>
      </c>
      <c r="AI73" s="10"/>
      <c r="AJ73" s="7">
        <f>IF(AN73=0,J73,0)</f>
        <v>0</v>
      </c>
      <c r="AK73" s="7">
        <f>IF(AN73=15,J73,0)</f>
        <v>0</v>
      </c>
      <c r="AL73" s="7">
        <f>IF(AN73=21,J73,0)</f>
        <v>0</v>
      </c>
      <c r="AN73" s="14">
        <v>21</v>
      </c>
      <c r="AO73" s="14">
        <f>G73*0</f>
        <v>0</v>
      </c>
      <c r="AP73" s="14">
        <f>G73*(1-0)</f>
        <v>0</v>
      </c>
      <c r="AQ73" s="15" t="s">
        <v>6</v>
      </c>
      <c r="AV73" s="14">
        <f>AW73+AX73</f>
        <v>0</v>
      </c>
      <c r="AW73" s="14">
        <f>F73*AO73</f>
        <v>0</v>
      </c>
      <c r="AX73" s="14">
        <f>F73*AP73</f>
        <v>0</v>
      </c>
      <c r="AY73" s="17" t="s">
        <v>320</v>
      </c>
      <c r="AZ73" s="17" t="s">
        <v>332</v>
      </c>
      <c r="BA73" s="10" t="s">
        <v>337</v>
      </c>
      <c r="BC73" s="14">
        <f>AW73+AX73</f>
        <v>0</v>
      </c>
      <c r="BD73" s="14">
        <f>G73/(100-BE73)*100</f>
        <v>0</v>
      </c>
      <c r="BE73" s="14">
        <v>0</v>
      </c>
      <c r="BF73" s="14">
        <f>L73</f>
        <v>0</v>
      </c>
      <c r="BH73" s="7">
        <f>F73*AO73</f>
        <v>0</v>
      </c>
      <c r="BI73" s="7">
        <f>F73*AP73</f>
        <v>0</v>
      </c>
      <c r="BJ73" s="7">
        <f>F73*G73</f>
        <v>0</v>
      </c>
      <c r="BK73" s="7" t="s">
        <v>342</v>
      </c>
      <c r="BL73" s="14">
        <v>63</v>
      </c>
    </row>
    <row r="74" spans="1:47" ht="12.75">
      <c r="A74" s="36"/>
      <c r="B74" s="37"/>
      <c r="C74" s="37" t="s">
        <v>131</v>
      </c>
      <c r="D74" s="52" t="s">
        <v>234</v>
      </c>
      <c r="E74" s="36" t="s">
        <v>5</v>
      </c>
      <c r="F74" s="36" t="s">
        <v>5</v>
      </c>
      <c r="G74" s="254" t="s">
        <v>5</v>
      </c>
      <c r="H74" s="38">
        <f>SUM(H75:H75)</f>
        <v>0</v>
      </c>
      <c r="I74" s="38">
        <f>SUM(I75:I75)</f>
        <v>0</v>
      </c>
      <c r="J74" s="38">
        <f>SUM(J75:J75)</f>
        <v>0</v>
      </c>
      <c r="K74" s="39"/>
      <c r="L74" s="38">
        <f>SUM(L75:L75)</f>
        <v>0</v>
      </c>
      <c r="M74" s="39"/>
      <c r="N74" s="35"/>
      <c r="AI74" s="10"/>
      <c r="AS74" s="19">
        <f>SUM(AJ75:AJ75)</f>
        <v>0</v>
      </c>
      <c r="AT74" s="19">
        <f>SUM(AK75:AK75)</f>
        <v>0</v>
      </c>
      <c r="AU74" s="19">
        <f>SUM(AL75:AL75)</f>
        <v>0</v>
      </c>
    </row>
    <row r="75" spans="1:64" ht="12.75">
      <c r="A75" s="43" t="s">
        <v>57</v>
      </c>
      <c r="B75" s="43"/>
      <c r="C75" s="43" t="s">
        <v>132</v>
      </c>
      <c r="D75" s="54" t="s">
        <v>235</v>
      </c>
      <c r="E75" s="43" t="s">
        <v>281</v>
      </c>
      <c r="F75" s="44">
        <v>1</v>
      </c>
      <c r="G75" s="253"/>
      <c r="H75" s="44">
        <f>F75*AO75</f>
        <v>0</v>
      </c>
      <c r="I75" s="44">
        <f>F75*AP75</f>
        <v>0</v>
      </c>
      <c r="J75" s="44">
        <f>F75*G75</f>
        <v>0</v>
      </c>
      <c r="K75" s="44">
        <v>0</v>
      </c>
      <c r="L75" s="44">
        <f>F75*K75</f>
        <v>0</v>
      </c>
      <c r="M75" s="45"/>
      <c r="N75" s="35"/>
      <c r="Z75" s="14">
        <f>IF(AQ75="5",BJ75,0)</f>
        <v>0</v>
      </c>
      <c r="AB75" s="14">
        <f>IF(AQ75="1",BH75,0)</f>
        <v>0</v>
      </c>
      <c r="AC75" s="14">
        <f>IF(AQ75="1",BI75,0)</f>
        <v>0</v>
      </c>
      <c r="AD75" s="14">
        <f>IF(AQ75="7",BH75,0)</f>
        <v>0</v>
      </c>
      <c r="AE75" s="14">
        <f>IF(AQ75="7",BI75,0)</f>
        <v>0</v>
      </c>
      <c r="AF75" s="14">
        <f>IF(AQ75="2",BH75,0)</f>
        <v>0</v>
      </c>
      <c r="AG75" s="14">
        <f>IF(AQ75="2",BI75,0)</f>
        <v>0</v>
      </c>
      <c r="AH75" s="14">
        <f>IF(AQ75="0",BJ75,0)</f>
        <v>0</v>
      </c>
      <c r="AI75" s="10"/>
      <c r="AJ75" s="7">
        <f>IF(AN75=0,J75,0)</f>
        <v>0</v>
      </c>
      <c r="AK75" s="7">
        <f>IF(AN75=15,J75,0)</f>
        <v>0</v>
      </c>
      <c r="AL75" s="7">
        <f>IF(AN75=21,J75,0)</f>
        <v>0</v>
      </c>
      <c r="AN75" s="14">
        <v>21</v>
      </c>
      <c r="AO75" s="14">
        <f>G75*0</f>
        <v>0</v>
      </c>
      <c r="AP75" s="14">
        <f>G75*(1-0)</f>
        <v>0</v>
      </c>
      <c r="AQ75" s="15" t="s">
        <v>12</v>
      </c>
      <c r="AV75" s="14">
        <f>AW75+AX75</f>
        <v>0</v>
      </c>
      <c r="AW75" s="14">
        <f>F75*AO75</f>
        <v>0</v>
      </c>
      <c r="AX75" s="14">
        <f>F75*AP75</f>
        <v>0</v>
      </c>
      <c r="AY75" s="17" t="s">
        <v>321</v>
      </c>
      <c r="AZ75" s="17" t="s">
        <v>333</v>
      </c>
      <c r="BA75" s="10" t="s">
        <v>337</v>
      </c>
      <c r="BC75" s="14">
        <f>AW75+AX75</f>
        <v>0</v>
      </c>
      <c r="BD75" s="14">
        <f>G75/(100-BE75)*100</f>
        <v>0</v>
      </c>
      <c r="BE75" s="14">
        <v>0</v>
      </c>
      <c r="BF75" s="14">
        <f>L75</f>
        <v>0</v>
      </c>
      <c r="BH75" s="7">
        <f>F75*AO75</f>
        <v>0</v>
      </c>
      <c r="BI75" s="7">
        <f>F75*AP75</f>
        <v>0</v>
      </c>
      <c r="BJ75" s="7">
        <f>F75*G75</f>
        <v>0</v>
      </c>
      <c r="BK75" s="7" t="s">
        <v>342</v>
      </c>
      <c r="BL75" s="14">
        <v>722</v>
      </c>
    </row>
    <row r="76" spans="1:47" ht="12.75">
      <c r="A76" s="36"/>
      <c r="B76" s="37"/>
      <c r="C76" s="37" t="s">
        <v>133</v>
      </c>
      <c r="D76" s="52" t="s">
        <v>236</v>
      </c>
      <c r="E76" s="36" t="s">
        <v>5</v>
      </c>
      <c r="F76" s="36" t="s">
        <v>5</v>
      </c>
      <c r="G76" s="254" t="s">
        <v>5</v>
      </c>
      <c r="H76" s="38">
        <f>SUM(H77:H86)</f>
        <v>0</v>
      </c>
      <c r="I76" s="38">
        <f>SUM(I77:I86)</f>
        <v>0</v>
      </c>
      <c r="J76" s="38">
        <f>SUM(J77:J86)</f>
        <v>0</v>
      </c>
      <c r="K76" s="39"/>
      <c r="L76" s="38">
        <f>SUM(L77:L86)</f>
        <v>0.2336068</v>
      </c>
      <c r="M76" s="39"/>
      <c r="N76" s="35"/>
      <c r="AI76" s="10"/>
      <c r="AS76" s="19">
        <f>SUM(AJ77:AJ86)</f>
        <v>0</v>
      </c>
      <c r="AT76" s="19">
        <f>SUM(AK77:AK86)</f>
        <v>0</v>
      </c>
      <c r="AU76" s="19">
        <f>SUM(AL77:AL86)</f>
        <v>0</v>
      </c>
    </row>
    <row r="77" spans="1:64" ht="12.75">
      <c r="A77" s="43" t="s">
        <v>58</v>
      </c>
      <c r="B77" s="43"/>
      <c r="C77" s="43" t="s">
        <v>134</v>
      </c>
      <c r="D77" s="54" t="s">
        <v>237</v>
      </c>
      <c r="E77" s="43" t="s">
        <v>279</v>
      </c>
      <c r="F77" s="44">
        <v>15.575</v>
      </c>
      <c r="G77" s="253"/>
      <c r="H77" s="44">
        <f aca="true" t="shared" si="100" ref="H77:H86">F77*AO77</f>
        <v>0</v>
      </c>
      <c r="I77" s="44">
        <f aca="true" t="shared" si="101" ref="I77:I86">F77*AP77</f>
        <v>0</v>
      </c>
      <c r="J77" s="44">
        <f aca="true" t="shared" si="102" ref="J77:J86">F77*G77</f>
        <v>0</v>
      </c>
      <c r="K77" s="44">
        <v>0</v>
      </c>
      <c r="L77" s="44">
        <f aca="true" t="shared" si="103" ref="L77:L86">F77*K77</f>
        <v>0</v>
      </c>
      <c r="M77" s="45"/>
      <c r="N77" s="35"/>
      <c r="Z77" s="14">
        <f aca="true" t="shared" si="104" ref="Z77:Z86">IF(AQ77="5",BJ77,0)</f>
        <v>0</v>
      </c>
      <c r="AB77" s="14">
        <f aca="true" t="shared" si="105" ref="AB77:AB86">IF(AQ77="1",BH77,0)</f>
        <v>0</v>
      </c>
      <c r="AC77" s="14">
        <f aca="true" t="shared" si="106" ref="AC77:AC86">IF(AQ77="1",BI77,0)</f>
        <v>0</v>
      </c>
      <c r="AD77" s="14">
        <f aca="true" t="shared" si="107" ref="AD77:AD86">IF(AQ77="7",BH77,0)</f>
        <v>0</v>
      </c>
      <c r="AE77" s="14">
        <f aca="true" t="shared" si="108" ref="AE77:AE86">IF(AQ77="7",BI77,0)</f>
        <v>0</v>
      </c>
      <c r="AF77" s="14">
        <f aca="true" t="shared" si="109" ref="AF77:AF86">IF(AQ77="2",BH77,0)</f>
        <v>0</v>
      </c>
      <c r="AG77" s="14">
        <f aca="true" t="shared" si="110" ref="AG77:AG86">IF(AQ77="2",BI77,0)</f>
        <v>0</v>
      </c>
      <c r="AH77" s="14">
        <f aca="true" t="shared" si="111" ref="AH77:AH86">IF(AQ77="0",BJ77,0)</f>
        <v>0</v>
      </c>
      <c r="AI77" s="10"/>
      <c r="AJ77" s="7">
        <f aca="true" t="shared" si="112" ref="AJ77:AJ86">IF(AN77=0,J77,0)</f>
        <v>0</v>
      </c>
      <c r="AK77" s="7">
        <f aca="true" t="shared" si="113" ref="AK77:AK86">IF(AN77=15,J77,0)</f>
        <v>0</v>
      </c>
      <c r="AL77" s="7">
        <f aca="true" t="shared" si="114" ref="AL77:AL86">IF(AN77=21,J77,0)</f>
        <v>0</v>
      </c>
      <c r="AN77" s="14">
        <v>21</v>
      </c>
      <c r="AO77" s="14">
        <f>G77*0.43636316469871</f>
        <v>0</v>
      </c>
      <c r="AP77" s="14">
        <f>G77*(1-0.43636316469871)</f>
        <v>0</v>
      </c>
      <c r="AQ77" s="15" t="s">
        <v>12</v>
      </c>
      <c r="AV77" s="14">
        <f aca="true" t="shared" si="115" ref="AV77:AV86">AW77+AX77</f>
        <v>0</v>
      </c>
      <c r="AW77" s="14">
        <f aca="true" t="shared" si="116" ref="AW77:AW86">F77*AO77</f>
        <v>0</v>
      </c>
      <c r="AX77" s="14">
        <f aca="true" t="shared" si="117" ref="AX77:AX86">F77*AP77</f>
        <v>0</v>
      </c>
      <c r="AY77" s="17" t="s">
        <v>322</v>
      </c>
      <c r="AZ77" s="17" t="s">
        <v>334</v>
      </c>
      <c r="BA77" s="10" t="s">
        <v>337</v>
      </c>
      <c r="BC77" s="14">
        <f aca="true" t="shared" si="118" ref="BC77:BC86">AW77+AX77</f>
        <v>0</v>
      </c>
      <c r="BD77" s="14">
        <f aca="true" t="shared" si="119" ref="BD77:BD86">G77/(100-BE77)*100</f>
        <v>0</v>
      </c>
      <c r="BE77" s="14">
        <v>0</v>
      </c>
      <c r="BF77" s="14">
        <f aca="true" t="shared" si="120" ref="BF77:BF86">L77</f>
        <v>0</v>
      </c>
      <c r="BH77" s="7">
        <f aca="true" t="shared" si="121" ref="BH77:BH86">F77*AO77</f>
        <v>0</v>
      </c>
      <c r="BI77" s="7">
        <f aca="true" t="shared" si="122" ref="BI77:BI86">F77*AP77</f>
        <v>0</v>
      </c>
      <c r="BJ77" s="7">
        <f aca="true" t="shared" si="123" ref="BJ77:BJ86">F77*G77</f>
        <v>0</v>
      </c>
      <c r="BK77" s="7" t="s">
        <v>342</v>
      </c>
      <c r="BL77" s="14">
        <v>767</v>
      </c>
    </row>
    <row r="78" spans="1:64" ht="12.75">
      <c r="A78" s="43" t="s">
        <v>59</v>
      </c>
      <c r="B78" s="43"/>
      <c r="C78" s="43" t="s">
        <v>135</v>
      </c>
      <c r="D78" s="54" t="s">
        <v>238</v>
      </c>
      <c r="E78" s="43" t="s">
        <v>279</v>
      </c>
      <c r="F78" s="44">
        <v>41.17</v>
      </c>
      <c r="G78" s="253"/>
      <c r="H78" s="44">
        <f t="shared" si="100"/>
        <v>0</v>
      </c>
      <c r="I78" s="44">
        <f t="shared" si="101"/>
        <v>0</v>
      </c>
      <c r="J78" s="44">
        <f t="shared" si="102"/>
        <v>0</v>
      </c>
      <c r="K78" s="44">
        <v>0.00148</v>
      </c>
      <c r="L78" s="44">
        <f t="shared" si="103"/>
        <v>0.0609316</v>
      </c>
      <c r="M78" s="45"/>
      <c r="N78" s="35"/>
      <c r="Z78" s="14">
        <f t="shared" si="104"/>
        <v>0</v>
      </c>
      <c r="AB78" s="14">
        <f t="shared" si="105"/>
        <v>0</v>
      </c>
      <c r="AC78" s="14">
        <f t="shared" si="106"/>
        <v>0</v>
      </c>
      <c r="AD78" s="14">
        <f t="shared" si="107"/>
        <v>0</v>
      </c>
      <c r="AE78" s="14">
        <f t="shared" si="108"/>
        <v>0</v>
      </c>
      <c r="AF78" s="14">
        <f t="shared" si="109"/>
        <v>0</v>
      </c>
      <c r="AG78" s="14">
        <f t="shared" si="110"/>
        <v>0</v>
      </c>
      <c r="AH78" s="14">
        <f t="shared" si="111"/>
        <v>0</v>
      </c>
      <c r="AI78" s="10"/>
      <c r="AJ78" s="7">
        <f t="shared" si="112"/>
        <v>0</v>
      </c>
      <c r="AK78" s="7">
        <f t="shared" si="113"/>
        <v>0</v>
      </c>
      <c r="AL78" s="7">
        <f t="shared" si="114"/>
        <v>0</v>
      </c>
      <c r="AN78" s="14">
        <v>21</v>
      </c>
      <c r="AO78" s="14">
        <f>G78*0.463949241486562</f>
        <v>0</v>
      </c>
      <c r="AP78" s="14">
        <f>G78*(1-0.463949241486562)</f>
        <v>0</v>
      </c>
      <c r="AQ78" s="15" t="s">
        <v>12</v>
      </c>
      <c r="AV78" s="14">
        <f t="shared" si="115"/>
        <v>0</v>
      </c>
      <c r="AW78" s="14">
        <f t="shared" si="116"/>
        <v>0</v>
      </c>
      <c r="AX78" s="14">
        <f t="shared" si="117"/>
        <v>0</v>
      </c>
      <c r="AY78" s="17" t="s">
        <v>322</v>
      </c>
      <c r="AZ78" s="17" t="s">
        <v>334</v>
      </c>
      <c r="BA78" s="10" t="s">
        <v>337</v>
      </c>
      <c r="BC78" s="14">
        <f t="shared" si="118"/>
        <v>0</v>
      </c>
      <c r="BD78" s="14">
        <f t="shared" si="119"/>
        <v>0</v>
      </c>
      <c r="BE78" s="14">
        <v>0</v>
      </c>
      <c r="BF78" s="14">
        <f t="shared" si="120"/>
        <v>0.0609316</v>
      </c>
      <c r="BH78" s="7">
        <f t="shared" si="121"/>
        <v>0</v>
      </c>
      <c r="BI78" s="7">
        <f t="shared" si="122"/>
        <v>0</v>
      </c>
      <c r="BJ78" s="7">
        <f t="shared" si="123"/>
        <v>0</v>
      </c>
      <c r="BK78" s="7" t="s">
        <v>342</v>
      </c>
      <c r="BL78" s="14">
        <v>767</v>
      </c>
    </row>
    <row r="79" spans="1:64" ht="25.5">
      <c r="A79" s="43" t="s">
        <v>60</v>
      </c>
      <c r="B79" s="43"/>
      <c r="C79" s="43" t="s">
        <v>136</v>
      </c>
      <c r="D79" s="54" t="s">
        <v>239</v>
      </c>
      <c r="E79" s="43" t="s">
        <v>282</v>
      </c>
      <c r="F79" s="44">
        <v>84.32</v>
      </c>
      <c r="G79" s="253"/>
      <c r="H79" s="44">
        <f t="shared" si="100"/>
        <v>0</v>
      </c>
      <c r="I79" s="44">
        <f t="shared" si="101"/>
        <v>0</v>
      </c>
      <c r="J79" s="44">
        <f t="shared" si="102"/>
        <v>0</v>
      </c>
      <c r="K79" s="44">
        <v>0.00136</v>
      </c>
      <c r="L79" s="44">
        <f t="shared" si="103"/>
        <v>0.1146752</v>
      </c>
      <c r="M79" s="45"/>
      <c r="N79" s="35"/>
      <c r="Z79" s="14">
        <f t="shared" si="104"/>
        <v>0</v>
      </c>
      <c r="AB79" s="14">
        <f t="shared" si="105"/>
        <v>0</v>
      </c>
      <c r="AC79" s="14">
        <f t="shared" si="106"/>
        <v>0</v>
      </c>
      <c r="AD79" s="14">
        <f t="shared" si="107"/>
        <v>0</v>
      </c>
      <c r="AE79" s="14">
        <f t="shared" si="108"/>
        <v>0</v>
      </c>
      <c r="AF79" s="14">
        <f t="shared" si="109"/>
        <v>0</v>
      </c>
      <c r="AG79" s="14">
        <f t="shared" si="110"/>
        <v>0</v>
      </c>
      <c r="AH79" s="14">
        <f t="shared" si="111"/>
        <v>0</v>
      </c>
      <c r="AI79" s="10"/>
      <c r="AJ79" s="7">
        <f t="shared" si="112"/>
        <v>0</v>
      </c>
      <c r="AK79" s="7">
        <f t="shared" si="113"/>
        <v>0</v>
      </c>
      <c r="AL79" s="7">
        <f t="shared" si="114"/>
        <v>0</v>
      </c>
      <c r="AN79" s="14">
        <v>21</v>
      </c>
      <c r="AO79" s="14">
        <f>G79*0.0756960727100846</f>
        <v>0</v>
      </c>
      <c r="AP79" s="14">
        <f>G79*(1-0.0756960727100846)</f>
        <v>0</v>
      </c>
      <c r="AQ79" s="15" t="s">
        <v>12</v>
      </c>
      <c r="AV79" s="14">
        <f t="shared" si="115"/>
        <v>0</v>
      </c>
      <c r="AW79" s="14">
        <f t="shared" si="116"/>
        <v>0</v>
      </c>
      <c r="AX79" s="14">
        <f t="shared" si="117"/>
        <v>0</v>
      </c>
      <c r="AY79" s="17" t="s">
        <v>322</v>
      </c>
      <c r="AZ79" s="17" t="s">
        <v>334</v>
      </c>
      <c r="BA79" s="10" t="s">
        <v>337</v>
      </c>
      <c r="BC79" s="14">
        <f t="shared" si="118"/>
        <v>0</v>
      </c>
      <c r="BD79" s="14">
        <f t="shared" si="119"/>
        <v>0</v>
      </c>
      <c r="BE79" s="14">
        <v>0</v>
      </c>
      <c r="BF79" s="14">
        <f t="shared" si="120"/>
        <v>0.1146752</v>
      </c>
      <c r="BH79" s="7">
        <f t="shared" si="121"/>
        <v>0</v>
      </c>
      <c r="BI79" s="7">
        <f t="shared" si="122"/>
        <v>0</v>
      </c>
      <c r="BJ79" s="7">
        <f t="shared" si="123"/>
        <v>0</v>
      </c>
      <c r="BK79" s="7" t="s">
        <v>342</v>
      </c>
      <c r="BL79" s="14">
        <v>767</v>
      </c>
    </row>
    <row r="80" spans="1:64" ht="12.75">
      <c r="A80" s="43" t="s">
        <v>61</v>
      </c>
      <c r="B80" s="43"/>
      <c r="C80" s="43" t="s">
        <v>137</v>
      </c>
      <c r="D80" s="54" t="s">
        <v>240</v>
      </c>
      <c r="E80" s="43" t="s">
        <v>279</v>
      </c>
      <c r="F80" s="44">
        <v>60.144</v>
      </c>
      <c r="G80" s="253"/>
      <c r="H80" s="44">
        <f t="shared" si="100"/>
        <v>0</v>
      </c>
      <c r="I80" s="44">
        <f t="shared" si="101"/>
        <v>0</v>
      </c>
      <c r="J80" s="44">
        <f t="shared" si="102"/>
        <v>0</v>
      </c>
      <c r="K80" s="44">
        <v>0</v>
      </c>
      <c r="L80" s="44">
        <f t="shared" si="103"/>
        <v>0</v>
      </c>
      <c r="M80" s="45"/>
      <c r="N80" s="35"/>
      <c r="Z80" s="14">
        <f t="shared" si="104"/>
        <v>0</v>
      </c>
      <c r="AB80" s="14">
        <f t="shared" si="105"/>
        <v>0</v>
      </c>
      <c r="AC80" s="14">
        <f t="shared" si="106"/>
        <v>0</v>
      </c>
      <c r="AD80" s="14">
        <f t="shared" si="107"/>
        <v>0</v>
      </c>
      <c r="AE80" s="14">
        <f t="shared" si="108"/>
        <v>0</v>
      </c>
      <c r="AF80" s="14">
        <f t="shared" si="109"/>
        <v>0</v>
      </c>
      <c r="AG80" s="14">
        <f t="shared" si="110"/>
        <v>0</v>
      </c>
      <c r="AH80" s="14">
        <f t="shared" si="111"/>
        <v>0</v>
      </c>
      <c r="AI80" s="10"/>
      <c r="AJ80" s="7">
        <f t="shared" si="112"/>
        <v>0</v>
      </c>
      <c r="AK80" s="7">
        <f t="shared" si="113"/>
        <v>0</v>
      </c>
      <c r="AL80" s="7">
        <f t="shared" si="114"/>
        <v>0</v>
      </c>
      <c r="AN80" s="14">
        <v>21</v>
      </c>
      <c r="AO80" s="14">
        <f>G80*0.478065628233047</f>
        <v>0</v>
      </c>
      <c r="AP80" s="14">
        <f>G80*(1-0.478065628233047)</f>
        <v>0</v>
      </c>
      <c r="AQ80" s="15" t="s">
        <v>12</v>
      </c>
      <c r="AV80" s="14">
        <f t="shared" si="115"/>
        <v>0</v>
      </c>
      <c r="AW80" s="14">
        <f t="shared" si="116"/>
        <v>0</v>
      </c>
      <c r="AX80" s="14">
        <f t="shared" si="117"/>
        <v>0</v>
      </c>
      <c r="AY80" s="17" t="s">
        <v>322</v>
      </c>
      <c r="AZ80" s="17" t="s">
        <v>334</v>
      </c>
      <c r="BA80" s="10" t="s">
        <v>337</v>
      </c>
      <c r="BC80" s="14">
        <f t="shared" si="118"/>
        <v>0</v>
      </c>
      <c r="BD80" s="14">
        <f t="shared" si="119"/>
        <v>0</v>
      </c>
      <c r="BE80" s="14">
        <v>0</v>
      </c>
      <c r="BF80" s="14">
        <f t="shared" si="120"/>
        <v>0</v>
      </c>
      <c r="BH80" s="7">
        <f t="shared" si="121"/>
        <v>0</v>
      </c>
      <c r="BI80" s="7">
        <f t="shared" si="122"/>
        <v>0</v>
      </c>
      <c r="BJ80" s="7">
        <f t="shared" si="123"/>
        <v>0</v>
      </c>
      <c r="BK80" s="7" t="s">
        <v>342</v>
      </c>
      <c r="BL80" s="14">
        <v>767</v>
      </c>
    </row>
    <row r="81" spans="1:64" ht="12.75">
      <c r="A81" s="43" t="s">
        <v>62</v>
      </c>
      <c r="B81" s="43"/>
      <c r="C81" s="43" t="s">
        <v>137</v>
      </c>
      <c r="D81" s="54" t="s">
        <v>241</v>
      </c>
      <c r="E81" s="43" t="s">
        <v>279</v>
      </c>
      <c r="F81" s="44">
        <v>28.06</v>
      </c>
      <c r="G81" s="253"/>
      <c r="H81" s="44">
        <f t="shared" si="100"/>
        <v>0</v>
      </c>
      <c r="I81" s="44">
        <f t="shared" si="101"/>
        <v>0</v>
      </c>
      <c r="J81" s="44">
        <f t="shared" si="102"/>
        <v>0</v>
      </c>
      <c r="K81" s="44">
        <v>0</v>
      </c>
      <c r="L81" s="44">
        <f t="shared" si="103"/>
        <v>0</v>
      </c>
      <c r="M81" s="45"/>
      <c r="N81" s="35"/>
      <c r="Z81" s="14">
        <f t="shared" si="104"/>
        <v>0</v>
      </c>
      <c r="AB81" s="14">
        <f t="shared" si="105"/>
        <v>0</v>
      </c>
      <c r="AC81" s="14">
        <f t="shared" si="106"/>
        <v>0</v>
      </c>
      <c r="AD81" s="14">
        <f t="shared" si="107"/>
        <v>0</v>
      </c>
      <c r="AE81" s="14">
        <f t="shared" si="108"/>
        <v>0</v>
      </c>
      <c r="AF81" s="14">
        <f t="shared" si="109"/>
        <v>0</v>
      </c>
      <c r="AG81" s="14">
        <f t="shared" si="110"/>
        <v>0</v>
      </c>
      <c r="AH81" s="14">
        <f t="shared" si="111"/>
        <v>0</v>
      </c>
      <c r="AI81" s="10"/>
      <c r="AJ81" s="7">
        <f t="shared" si="112"/>
        <v>0</v>
      </c>
      <c r="AK81" s="7">
        <f t="shared" si="113"/>
        <v>0</v>
      </c>
      <c r="AL81" s="7">
        <f t="shared" si="114"/>
        <v>0</v>
      </c>
      <c r="AN81" s="14">
        <v>21</v>
      </c>
      <c r="AO81" s="14">
        <f>G81*0.571209962742395</f>
        <v>0</v>
      </c>
      <c r="AP81" s="14">
        <f>G81*(1-0.571209962742395)</f>
        <v>0</v>
      </c>
      <c r="AQ81" s="15" t="s">
        <v>12</v>
      </c>
      <c r="AV81" s="14">
        <f t="shared" si="115"/>
        <v>0</v>
      </c>
      <c r="AW81" s="14">
        <f t="shared" si="116"/>
        <v>0</v>
      </c>
      <c r="AX81" s="14">
        <f t="shared" si="117"/>
        <v>0</v>
      </c>
      <c r="AY81" s="17" t="s">
        <v>322</v>
      </c>
      <c r="AZ81" s="17" t="s">
        <v>334</v>
      </c>
      <c r="BA81" s="10" t="s">
        <v>337</v>
      </c>
      <c r="BC81" s="14">
        <f t="shared" si="118"/>
        <v>0</v>
      </c>
      <c r="BD81" s="14">
        <f t="shared" si="119"/>
        <v>0</v>
      </c>
      <c r="BE81" s="14">
        <v>0</v>
      </c>
      <c r="BF81" s="14">
        <f t="shared" si="120"/>
        <v>0</v>
      </c>
      <c r="BH81" s="7">
        <f t="shared" si="121"/>
        <v>0</v>
      </c>
      <c r="BI81" s="7">
        <f t="shared" si="122"/>
        <v>0</v>
      </c>
      <c r="BJ81" s="7">
        <f t="shared" si="123"/>
        <v>0</v>
      </c>
      <c r="BK81" s="7" t="s">
        <v>342</v>
      </c>
      <c r="BL81" s="14">
        <v>767</v>
      </c>
    </row>
    <row r="82" spans="1:64" ht="12.75">
      <c r="A82" s="40" t="s">
        <v>63</v>
      </c>
      <c r="B82" s="40"/>
      <c r="C82" s="40" t="s">
        <v>138</v>
      </c>
      <c r="D82" s="53" t="s">
        <v>242</v>
      </c>
      <c r="E82" s="40" t="s">
        <v>280</v>
      </c>
      <c r="F82" s="41">
        <v>1</v>
      </c>
      <c r="G82" s="253"/>
      <c r="H82" s="41">
        <f t="shared" si="100"/>
        <v>0</v>
      </c>
      <c r="I82" s="41">
        <f t="shared" si="101"/>
        <v>0</v>
      </c>
      <c r="J82" s="41">
        <f t="shared" si="102"/>
        <v>0</v>
      </c>
      <c r="K82" s="41">
        <v>0</v>
      </c>
      <c r="L82" s="41">
        <f t="shared" si="103"/>
        <v>0</v>
      </c>
      <c r="M82" s="42"/>
      <c r="N82" s="35"/>
      <c r="Z82" s="14">
        <f t="shared" si="104"/>
        <v>0</v>
      </c>
      <c r="AB82" s="14">
        <f t="shared" si="105"/>
        <v>0</v>
      </c>
      <c r="AC82" s="14">
        <f t="shared" si="106"/>
        <v>0</v>
      </c>
      <c r="AD82" s="14">
        <f t="shared" si="107"/>
        <v>0</v>
      </c>
      <c r="AE82" s="14">
        <f t="shared" si="108"/>
        <v>0</v>
      </c>
      <c r="AF82" s="14">
        <f t="shared" si="109"/>
        <v>0</v>
      </c>
      <c r="AG82" s="14">
        <f t="shared" si="110"/>
        <v>0</v>
      </c>
      <c r="AH82" s="14">
        <f t="shared" si="111"/>
        <v>0</v>
      </c>
      <c r="AI82" s="10"/>
      <c r="AJ82" s="7">
        <f t="shared" si="112"/>
        <v>0</v>
      </c>
      <c r="AK82" s="7">
        <f t="shared" si="113"/>
        <v>0</v>
      </c>
      <c r="AL82" s="7">
        <f t="shared" si="114"/>
        <v>0</v>
      </c>
      <c r="AN82" s="14">
        <v>21</v>
      </c>
      <c r="AO82" s="14">
        <f>G82*0</f>
        <v>0</v>
      </c>
      <c r="AP82" s="14">
        <f>G82*(1-0)</f>
        <v>0</v>
      </c>
      <c r="AQ82" s="15" t="s">
        <v>12</v>
      </c>
      <c r="AV82" s="14">
        <f t="shared" si="115"/>
        <v>0</v>
      </c>
      <c r="AW82" s="14">
        <f t="shared" si="116"/>
        <v>0</v>
      </c>
      <c r="AX82" s="14">
        <f t="shared" si="117"/>
        <v>0</v>
      </c>
      <c r="AY82" s="17" t="s">
        <v>322</v>
      </c>
      <c r="AZ82" s="17" t="s">
        <v>334</v>
      </c>
      <c r="BA82" s="10" t="s">
        <v>337</v>
      </c>
      <c r="BC82" s="14">
        <f t="shared" si="118"/>
        <v>0</v>
      </c>
      <c r="BD82" s="14">
        <f t="shared" si="119"/>
        <v>0</v>
      </c>
      <c r="BE82" s="14">
        <v>0</v>
      </c>
      <c r="BF82" s="14">
        <f t="shared" si="120"/>
        <v>0</v>
      </c>
      <c r="BH82" s="7">
        <f t="shared" si="121"/>
        <v>0</v>
      </c>
      <c r="BI82" s="7">
        <f t="shared" si="122"/>
        <v>0</v>
      </c>
      <c r="BJ82" s="7">
        <f t="shared" si="123"/>
        <v>0</v>
      </c>
      <c r="BK82" s="7" t="s">
        <v>342</v>
      </c>
      <c r="BL82" s="14">
        <v>767</v>
      </c>
    </row>
    <row r="83" spans="1:64" ht="12.75">
      <c r="A83" s="49" t="s">
        <v>64</v>
      </c>
      <c r="B83" s="49"/>
      <c r="C83" s="49" t="s">
        <v>139</v>
      </c>
      <c r="D83" s="56" t="s">
        <v>243</v>
      </c>
      <c r="E83" s="49" t="s">
        <v>280</v>
      </c>
      <c r="F83" s="50">
        <v>1</v>
      </c>
      <c r="G83" s="255"/>
      <c r="H83" s="50">
        <f t="shared" si="100"/>
        <v>0</v>
      </c>
      <c r="I83" s="50">
        <f t="shared" si="101"/>
        <v>0</v>
      </c>
      <c r="J83" s="50">
        <f t="shared" si="102"/>
        <v>0</v>
      </c>
      <c r="K83" s="50">
        <v>0.029</v>
      </c>
      <c r="L83" s="50">
        <f t="shared" si="103"/>
        <v>0.029</v>
      </c>
      <c r="M83" s="51"/>
      <c r="N83" s="35"/>
      <c r="Z83" s="14">
        <f t="shared" si="104"/>
        <v>0</v>
      </c>
      <c r="AB83" s="14">
        <f t="shared" si="105"/>
        <v>0</v>
      </c>
      <c r="AC83" s="14">
        <f t="shared" si="106"/>
        <v>0</v>
      </c>
      <c r="AD83" s="14">
        <f t="shared" si="107"/>
        <v>0</v>
      </c>
      <c r="AE83" s="14">
        <f t="shared" si="108"/>
        <v>0</v>
      </c>
      <c r="AF83" s="14">
        <f t="shared" si="109"/>
        <v>0</v>
      </c>
      <c r="AG83" s="14">
        <f t="shared" si="110"/>
        <v>0</v>
      </c>
      <c r="AH83" s="14">
        <f t="shared" si="111"/>
        <v>0</v>
      </c>
      <c r="AI83" s="10"/>
      <c r="AJ83" s="8">
        <f t="shared" si="112"/>
        <v>0</v>
      </c>
      <c r="AK83" s="8">
        <f t="shared" si="113"/>
        <v>0</v>
      </c>
      <c r="AL83" s="8">
        <f t="shared" si="114"/>
        <v>0</v>
      </c>
      <c r="AN83" s="14">
        <v>21</v>
      </c>
      <c r="AO83" s="14">
        <f>G83*1</f>
        <v>0</v>
      </c>
      <c r="AP83" s="14">
        <f>G83*(1-1)</f>
        <v>0</v>
      </c>
      <c r="AQ83" s="16" t="s">
        <v>12</v>
      </c>
      <c r="AV83" s="14">
        <f t="shared" si="115"/>
        <v>0</v>
      </c>
      <c r="AW83" s="14">
        <f t="shared" si="116"/>
        <v>0</v>
      </c>
      <c r="AX83" s="14">
        <f t="shared" si="117"/>
        <v>0</v>
      </c>
      <c r="AY83" s="17" t="s">
        <v>322</v>
      </c>
      <c r="AZ83" s="17" t="s">
        <v>334</v>
      </c>
      <c r="BA83" s="10" t="s">
        <v>337</v>
      </c>
      <c r="BC83" s="14">
        <f t="shared" si="118"/>
        <v>0</v>
      </c>
      <c r="BD83" s="14">
        <f t="shared" si="119"/>
        <v>0</v>
      </c>
      <c r="BE83" s="14">
        <v>0</v>
      </c>
      <c r="BF83" s="14">
        <f t="shared" si="120"/>
        <v>0.029</v>
      </c>
      <c r="BH83" s="8">
        <f t="shared" si="121"/>
        <v>0</v>
      </c>
      <c r="BI83" s="8">
        <f t="shared" si="122"/>
        <v>0</v>
      </c>
      <c r="BJ83" s="8">
        <f t="shared" si="123"/>
        <v>0</v>
      </c>
      <c r="BK83" s="8" t="s">
        <v>343</v>
      </c>
      <c r="BL83" s="14">
        <v>767</v>
      </c>
    </row>
    <row r="84" spans="1:64" ht="12.75">
      <c r="A84" s="40" t="s">
        <v>65</v>
      </c>
      <c r="B84" s="40"/>
      <c r="C84" s="40" t="s">
        <v>140</v>
      </c>
      <c r="D84" s="53" t="s">
        <v>244</v>
      </c>
      <c r="E84" s="40" t="s">
        <v>280</v>
      </c>
      <c r="F84" s="41">
        <v>1</v>
      </c>
      <c r="G84" s="253"/>
      <c r="H84" s="41">
        <f t="shared" si="100"/>
        <v>0</v>
      </c>
      <c r="I84" s="41">
        <f t="shared" si="101"/>
        <v>0</v>
      </c>
      <c r="J84" s="41">
        <f t="shared" si="102"/>
        <v>0</v>
      </c>
      <c r="K84" s="41">
        <v>0</v>
      </c>
      <c r="L84" s="41">
        <f t="shared" si="103"/>
        <v>0</v>
      </c>
      <c r="M84" s="42"/>
      <c r="N84" s="35"/>
      <c r="Z84" s="14">
        <f t="shared" si="104"/>
        <v>0</v>
      </c>
      <c r="AB84" s="14">
        <f t="shared" si="105"/>
        <v>0</v>
      </c>
      <c r="AC84" s="14">
        <f t="shared" si="106"/>
        <v>0</v>
      </c>
      <c r="AD84" s="14">
        <f t="shared" si="107"/>
        <v>0</v>
      </c>
      <c r="AE84" s="14">
        <f t="shared" si="108"/>
        <v>0</v>
      </c>
      <c r="AF84" s="14">
        <f t="shared" si="109"/>
        <v>0</v>
      </c>
      <c r="AG84" s="14">
        <f t="shared" si="110"/>
        <v>0</v>
      </c>
      <c r="AH84" s="14">
        <f t="shared" si="111"/>
        <v>0</v>
      </c>
      <c r="AI84" s="10"/>
      <c r="AJ84" s="7">
        <f t="shared" si="112"/>
        <v>0</v>
      </c>
      <c r="AK84" s="7">
        <f t="shared" si="113"/>
        <v>0</v>
      </c>
      <c r="AL84" s="7">
        <f t="shared" si="114"/>
        <v>0</v>
      </c>
      <c r="AN84" s="14">
        <v>21</v>
      </c>
      <c r="AO84" s="14">
        <f>G84*0</f>
        <v>0</v>
      </c>
      <c r="AP84" s="14">
        <f>G84*(1-0)</f>
        <v>0</v>
      </c>
      <c r="AQ84" s="15" t="s">
        <v>12</v>
      </c>
      <c r="AV84" s="14">
        <f t="shared" si="115"/>
        <v>0</v>
      </c>
      <c r="AW84" s="14">
        <f t="shared" si="116"/>
        <v>0</v>
      </c>
      <c r="AX84" s="14">
        <f t="shared" si="117"/>
        <v>0</v>
      </c>
      <c r="AY84" s="17" t="s">
        <v>322</v>
      </c>
      <c r="AZ84" s="17" t="s">
        <v>334</v>
      </c>
      <c r="BA84" s="10" t="s">
        <v>337</v>
      </c>
      <c r="BC84" s="14">
        <f t="shared" si="118"/>
        <v>0</v>
      </c>
      <c r="BD84" s="14">
        <f t="shared" si="119"/>
        <v>0</v>
      </c>
      <c r="BE84" s="14">
        <v>0</v>
      </c>
      <c r="BF84" s="14">
        <f t="shared" si="120"/>
        <v>0</v>
      </c>
      <c r="BH84" s="7">
        <f t="shared" si="121"/>
        <v>0</v>
      </c>
      <c r="BI84" s="7">
        <f t="shared" si="122"/>
        <v>0</v>
      </c>
      <c r="BJ84" s="7">
        <f t="shared" si="123"/>
        <v>0</v>
      </c>
      <c r="BK84" s="7" t="s">
        <v>342</v>
      </c>
      <c r="BL84" s="14">
        <v>767</v>
      </c>
    </row>
    <row r="85" spans="1:64" ht="12.75">
      <c r="A85" s="49" t="s">
        <v>66</v>
      </c>
      <c r="B85" s="49"/>
      <c r="C85" s="49" t="s">
        <v>141</v>
      </c>
      <c r="D85" s="56" t="s">
        <v>245</v>
      </c>
      <c r="E85" s="49" t="s">
        <v>280</v>
      </c>
      <c r="F85" s="50">
        <v>1</v>
      </c>
      <c r="G85" s="255"/>
      <c r="H85" s="50">
        <f t="shared" si="100"/>
        <v>0</v>
      </c>
      <c r="I85" s="50">
        <f t="shared" si="101"/>
        <v>0</v>
      </c>
      <c r="J85" s="50">
        <f t="shared" si="102"/>
        <v>0</v>
      </c>
      <c r="K85" s="50">
        <v>0.029</v>
      </c>
      <c r="L85" s="50">
        <f t="shared" si="103"/>
        <v>0.029</v>
      </c>
      <c r="M85" s="51"/>
      <c r="N85" s="35"/>
      <c r="Z85" s="14">
        <f t="shared" si="104"/>
        <v>0</v>
      </c>
      <c r="AB85" s="14">
        <f t="shared" si="105"/>
        <v>0</v>
      </c>
      <c r="AC85" s="14">
        <f t="shared" si="106"/>
        <v>0</v>
      </c>
      <c r="AD85" s="14">
        <f t="shared" si="107"/>
        <v>0</v>
      </c>
      <c r="AE85" s="14">
        <f t="shared" si="108"/>
        <v>0</v>
      </c>
      <c r="AF85" s="14">
        <f t="shared" si="109"/>
        <v>0</v>
      </c>
      <c r="AG85" s="14">
        <f t="shared" si="110"/>
        <v>0</v>
      </c>
      <c r="AH85" s="14">
        <f t="shared" si="111"/>
        <v>0</v>
      </c>
      <c r="AI85" s="10"/>
      <c r="AJ85" s="8">
        <f t="shared" si="112"/>
        <v>0</v>
      </c>
      <c r="AK85" s="8">
        <f t="shared" si="113"/>
        <v>0</v>
      </c>
      <c r="AL85" s="8">
        <f t="shared" si="114"/>
        <v>0</v>
      </c>
      <c r="AN85" s="14">
        <v>21</v>
      </c>
      <c r="AO85" s="14">
        <f>G85*1</f>
        <v>0</v>
      </c>
      <c r="AP85" s="14">
        <f>G85*(1-1)</f>
        <v>0</v>
      </c>
      <c r="AQ85" s="16" t="s">
        <v>12</v>
      </c>
      <c r="AV85" s="14">
        <f t="shared" si="115"/>
        <v>0</v>
      </c>
      <c r="AW85" s="14">
        <f t="shared" si="116"/>
        <v>0</v>
      </c>
      <c r="AX85" s="14">
        <f t="shared" si="117"/>
        <v>0</v>
      </c>
      <c r="AY85" s="17" t="s">
        <v>322</v>
      </c>
      <c r="AZ85" s="17" t="s">
        <v>334</v>
      </c>
      <c r="BA85" s="10" t="s">
        <v>337</v>
      </c>
      <c r="BC85" s="14">
        <f t="shared" si="118"/>
        <v>0</v>
      </c>
      <c r="BD85" s="14">
        <f t="shared" si="119"/>
        <v>0</v>
      </c>
      <c r="BE85" s="14">
        <v>0</v>
      </c>
      <c r="BF85" s="14">
        <f t="shared" si="120"/>
        <v>0.029</v>
      </c>
      <c r="BH85" s="8">
        <f t="shared" si="121"/>
        <v>0</v>
      </c>
      <c r="BI85" s="8">
        <f t="shared" si="122"/>
        <v>0</v>
      </c>
      <c r="BJ85" s="8">
        <f t="shared" si="123"/>
        <v>0</v>
      </c>
      <c r="BK85" s="8" t="s">
        <v>343</v>
      </c>
      <c r="BL85" s="14">
        <v>767</v>
      </c>
    </row>
    <row r="86" spans="1:64" ht="12.75">
      <c r="A86" s="40" t="s">
        <v>67</v>
      </c>
      <c r="B86" s="40"/>
      <c r="C86" s="40" t="s">
        <v>142</v>
      </c>
      <c r="D86" s="53" t="s">
        <v>246</v>
      </c>
      <c r="E86" s="40" t="s">
        <v>277</v>
      </c>
      <c r="F86" s="60">
        <v>0.2336</v>
      </c>
      <c r="G86" s="253"/>
      <c r="H86" s="41">
        <f t="shared" si="100"/>
        <v>0</v>
      </c>
      <c r="I86" s="41">
        <f t="shared" si="101"/>
        <v>0</v>
      </c>
      <c r="J86" s="41">
        <f t="shared" si="102"/>
        <v>0</v>
      </c>
      <c r="K86" s="41">
        <v>0</v>
      </c>
      <c r="L86" s="41">
        <f t="shared" si="103"/>
        <v>0</v>
      </c>
      <c r="M86" s="42"/>
      <c r="N86" s="35"/>
      <c r="Z86" s="14">
        <f t="shared" si="104"/>
        <v>0</v>
      </c>
      <c r="AB86" s="14">
        <f t="shared" si="105"/>
        <v>0</v>
      </c>
      <c r="AC86" s="14">
        <f t="shared" si="106"/>
        <v>0</v>
      </c>
      <c r="AD86" s="14">
        <f t="shared" si="107"/>
        <v>0</v>
      </c>
      <c r="AE86" s="14">
        <f t="shared" si="108"/>
        <v>0</v>
      </c>
      <c r="AF86" s="14">
        <f t="shared" si="109"/>
        <v>0</v>
      </c>
      <c r="AG86" s="14">
        <f t="shared" si="110"/>
        <v>0</v>
      </c>
      <c r="AH86" s="14">
        <f t="shared" si="111"/>
        <v>0</v>
      </c>
      <c r="AI86" s="10"/>
      <c r="AJ86" s="7">
        <f t="shared" si="112"/>
        <v>0</v>
      </c>
      <c r="AK86" s="7">
        <f t="shared" si="113"/>
        <v>0</v>
      </c>
      <c r="AL86" s="7">
        <f t="shared" si="114"/>
        <v>0</v>
      </c>
      <c r="AN86" s="14">
        <v>21</v>
      </c>
      <c r="AO86" s="14">
        <f>G86*0</f>
        <v>0</v>
      </c>
      <c r="AP86" s="14">
        <f>G86*(1-0)</f>
        <v>0</v>
      </c>
      <c r="AQ86" s="15" t="s">
        <v>10</v>
      </c>
      <c r="AV86" s="14">
        <f t="shared" si="115"/>
        <v>0</v>
      </c>
      <c r="AW86" s="14">
        <f t="shared" si="116"/>
        <v>0</v>
      </c>
      <c r="AX86" s="14">
        <f t="shared" si="117"/>
        <v>0</v>
      </c>
      <c r="AY86" s="17" t="s">
        <v>322</v>
      </c>
      <c r="AZ86" s="17" t="s">
        <v>334</v>
      </c>
      <c r="BA86" s="10" t="s">
        <v>337</v>
      </c>
      <c r="BC86" s="14">
        <f t="shared" si="118"/>
        <v>0</v>
      </c>
      <c r="BD86" s="14">
        <f t="shared" si="119"/>
        <v>0</v>
      </c>
      <c r="BE86" s="14">
        <v>0</v>
      </c>
      <c r="BF86" s="14">
        <f t="shared" si="120"/>
        <v>0</v>
      </c>
      <c r="BH86" s="7">
        <f t="shared" si="121"/>
        <v>0</v>
      </c>
      <c r="BI86" s="7">
        <f t="shared" si="122"/>
        <v>0</v>
      </c>
      <c r="BJ86" s="7">
        <f t="shared" si="123"/>
        <v>0</v>
      </c>
      <c r="BK86" s="7" t="s">
        <v>342</v>
      </c>
      <c r="BL86" s="14">
        <v>767</v>
      </c>
    </row>
    <row r="87" spans="1:47" ht="12.75">
      <c r="A87" s="36"/>
      <c r="B87" s="37"/>
      <c r="C87" s="37" t="s">
        <v>143</v>
      </c>
      <c r="D87" s="52" t="s">
        <v>247</v>
      </c>
      <c r="E87" s="36" t="s">
        <v>5</v>
      </c>
      <c r="F87" s="36" t="s">
        <v>5</v>
      </c>
      <c r="G87" s="254" t="s">
        <v>5</v>
      </c>
      <c r="H87" s="38">
        <f>SUM(H88:H88)</f>
        <v>0</v>
      </c>
      <c r="I87" s="38">
        <f>SUM(I88:I88)</f>
        <v>0</v>
      </c>
      <c r="J87" s="38">
        <f>SUM(J88:J88)</f>
        <v>0</v>
      </c>
      <c r="K87" s="39"/>
      <c r="L87" s="38">
        <f>SUM(L88:L88)</f>
        <v>0.04762</v>
      </c>
      <c r="M87" s="39"/>
      <c r="N87" s="35"/>
      <c r="AI87" s="10"/>
      <c r="AS87" s="19">
        <f>SUM(AJ88:AJ88)</f>
        <v>0</v>
      </c>
      <c r="AT87" s="19">
        <f>SUM(AK88:AK88)</f>
        <v>0</v>
      </c>
      <c r="AU87" s="19">
        <f>SUM(AL88:AL88)</f>
        <v>0</v>
      </c>
    </row>
    <row r="88" spans="1:64" ht="12.75">
      <c r="A88" s="40" t="s">
        <v>68</v>
      </c>
      <c r="B88" s="40"/>
      <c r="C88" s="40" t="s">
        <v>144</v>
      </c>
      <c r="D88" s="53" t="s">
        <v>248</v>
      </c>
      <c r="E88" s="40" t="s">
        <v>280</v>
      </c>
      <c r="F88" s="41">
        <v>1</v>
      </c>
      <c r="G88" s="253"/>
      <c r="H88" s="41">
        <f>F88*AO88</f>
        <v>0</v>
      </c>
      <c r="I88" s="41">
        <f>F88*AP88</f>
        <v>0</v>
      </c>
      <c r="J88" s="41">
        <f>F88*G88</f>
        <v>0</v>
      </c>
      <c r="K88" s="41">
        <v>0.04762</v>
      </c>
      <c r="L88" s="41">
        <f>F88*K88</f>
        <v>0.04762</v>
      </c>
      <c r="M88" s="42"/>
      <c r="N88" s="35"/>
      <c r="Z88" s="14">
        <f>IF(AQ88="5",BJ88,0)</f>
        <v>0</v>
      </c>
      <c r="AB88" s="14">
        <f>IF(AQ88="1",BH88,0)</f>
        <v>0</v>
      </c>
      <c r="AC88" s="14">
        <f>IF(AQ88="1",BI88,0)</f>
        <v>0</v>
      </c>
      <c r="AD88" s="14">
        <f>IF(AQ88="7",BH88,0)</f>
        <v>0</v>
      </c>
      <c r="AE88" s="14">
        <f>IF(AQ88="7",BI88,0)</f>
        <v>0</v>
      </c>
      <c r="AF88" s="14">
        <f>IF(AQ88="2",BH88,0)</f>
        <v>0</v>
      </c>
      <c r="AG88" s="14">
        <f>IF(AQ88="2",BI88,0)</f>
        <v>0</v>
      </c>
      <c r="AH88" s="14">
        <f>IF(AQ88="0",BJ88,0)</f>
        <v>0</v>
      </c>
      <c r="AI88" s="10"/>
      <c r="AJ88" s="7">
        <f>IF(AN88=0,J88,0)</f>
        <v>0</v>
      </c>
      <c r="AK88" s="7">
        <f>IF(AN88=15,J88,0)</f>
        <v>0</v>
      </c>
      <c r="AL88" s="7">
        <f>IF(AN88=21,J88,0)</f>
        <v>0</v>
      </c>
      <c r="AN88" s="14">
        <v>21</v>
      </c>
      <c r="AO88" s="14">
        <f>G88*0.895369629773657</f>
        <v>0</v>
      </c>
      <c r="AP88" s="14">
        <f>G88*(1-0.895369629773657)</f>
        <v>0</v>
      </c>
      <c r="AQ88" s="15" t="s">
        <v>6</v>
      </c>
      <c r="AV88" s="14">
        <f>AW88+AX88</f>
        <v>0</v>
      </c>
      <c r="AW88" s="14">
        <f>F88*AO88</f>
        <v>0</v>
      </c>
      <c r="AX88" s="14">
        <f>F88*AP88</f>
        <v>0</v>
      </c>
      <c r="AY88" s="17" t="s">
        <v>323</v>
      </c>
      <c r="AZ88" s="17" t="s">
        <v>335</v>
      </c>
      <c r="BA88" s="10" t="s">
        <v>337</v>
      </c>
      <c r="BC88" s="14">
        <f>AW88+AX88</f>
        <v>0</v>
      </c>
      <c r="BD88" s="14">
        <f>G88/(100-BE88)*100</f>
        <v>0</v>
      </c>
      <c r="BE88" s="14">
        <v>0</v>
      </c>
      <c r="BF88" s="14">
        <f>L88</f>
        <v>0.04762</v>
      </c>
      <c r="BH88" s="7">
        <f>F88*AO88</f>
        <v>0</v>
      </c>
      <c r="BI88" s="7">
        <f>F88*AP88</f>
        <v>0</v>
      </c>
      <c r="BJ88" s="7">
        <f>F88*G88</f>
        <v>0</v>
      </c>
      <c r="BK88" s="7" t="s">
        <v>342</v>
      </c>
      <c r="BL88" s="14">
        <v>89</v>
      </c>
    </row>
    <row r="89" spans="1:47" ht="12.75">
      <c r="A89" s="36"/>
      <c r="B89" s="37"/>
      <c r="C89" s="37" t="s">
        <v>145</v>
      </c>
      <c r="D89" s="52" t="s">
        <v>249</v>
      </c>
      <c r="E89" s="36" t="s">
        <v>5</v>
      </c>
      <c r="F89" s="36" t="s">
        <v>5</v>
      </c>
      <c r="G89" s="254" t="s">
        <v>5</v>
      </c>
      <c r="H89" s="38">
        <f>SUM(H90:H93)</f>
        <v>0</v>
      </c>
      <c r="I89" s="38">
        <f>SUM(I90:I93)</f>
        <v>0</v>
      </c>
      <c r="J89" s="38">
        <f>SUM(J90:J93)</f>
        <v>0</v>
      </c>
      <c r="K89" s="39"/>
      <c r="L89" s="38">
        <f>SUM(L90:L93)</f>
        <v>4.4579728</v>
      </c>
      <c r="M89" s="39"/>
      <c r="N89" s="35"/>
      <c r="AI89" s="10"/>
      <c r="AS89" s="19">
        <f>SUM(AJ90:AJ93)</f>
        <v>0</v>
      </c>
      <c r="AT89" s="19">
        <f>SUM(AK90:AK93)</f>
        <v>0</v>
      </c>
      <c r="AU89" s="19">
        <f>SUM(AL90:AL93)</f>
        <v>0</v>
      </c>
    </row>
    <row r="90" spans="1:64" ht="12.75">
      <c r="A90" s="40" t="s">
        <v>69</v>
      </c>
      <c r="B90" s="40"/>
      <c r="C90" s="40" t="s">
        <v>146</v>
      </c>
      <c r="D90" s="53" t="s">
        <v>250</v>
      </c>
      <c r="E90" s="40" t="s">
        <v>280</v>
      </c>
      <c r="F90" s="41">
        <v>22</v>
      </c>
      <c r="G90" s="253"/>
      <c r="H90" s="41">
        <f>F90*AO90</f>
        <v>0</v>
      </c>
      <c r="I90" s="41">
        <f>F90*AP90</f>
        <v>0</v>
      </c>
      <c r="J90" s="41">
        <f>F90*G90</f>
        <v>0</v>
      </c>
      <c r="K90" s="41">
        <v>0.004</v>
      </c>
      <c r="L90" s="41">
        <f>F90*K90</f>
        <v>0.088</v>
      </c>
      <c r="M90" s="42"/>
      <c r="N90" s="35"/>
      <c r="Z90" s="14">
        <f>IF(AQ90="5",BJ90,0)</f>
        <v>0</v>
      </c>
      <c r="AB90" s="14">
        <f>IF(AQ90="1",BH90,0)</f>
        <v>0</v>
      </c>
      <c r="AC90" s="14">
        <f>IF(AQ90="1",BI90,0)</f>
        <v>0</v>
      </c>
      <c r="AD90" s="14">
        <f>IF(AQ90="7",BH90,0)</f>
        <v>0</v>
      </c>
      <c r="AE90" s="14">
        <f>IF(AQ90="7",BI90,0)</f>
        <v>0</v>
      </c>
      <c r="AF90" s="14">
        <f>IF(AQ90="2",BH90,0)</f>
        <v>0</v>
      </c>
      <c r="AG90" s="14">
        <f>IF(AQ90="2",BI90,0)</f>
        <v>0</v>
      </c>
      <c r="AH90" s="14">
        <f>IF(AQ90="0",BJ90,0)</f>
        <v>0</v>
      </c>
      <c r="AI90" s="10"/>
      <c r="AJ90" s="7">
        <f>IF(AN90=0,J90,0)</f>
        <v>0</v>
      </c>
      <c r="AK90" s="7">
        <f>IF(AN90=15,J90,0)</f>
        <v>0</v>
      </c>
      <c r="AL90" s="7">
        <f>IF(AN90=21,J90,0)</f>
        <v>0</v>
      </c>
      <c r="AN90" s="14">
        <v>21</v>
      </c>
      <c r="AO90" s="14">
        <f>G90*0</f>
        <v>0</v>
      </c>
      <c r="AP90" s="14">
        <f>G90*(1-0)</f>
        <v>0</v>
      </c>
      <c r="AQ90" s="15" t="s">
        <v>6</v>
      </c>
      <c r="AV90" s="14">
        <f>AW90+AX90</f>
        <v>0</v>
      </c>
      <c r="AW90" s="14">
        <f>F90*AO90</f>
        <v>0</v>
      </c>
      <c r="AX90" s="14">
        <f>F90*AP90</f>
        <v>0</v>
      </c>
      <c r="AY90" s="17" t="s">
        <v>324</v>
      </c>
      <c r="AZ90" s="17" t="s">
        <v>336</v>
      </c>
      <c r="BA90" s="10" t="s">
        <v>337</v>
      </c>
      <c r="BC90" s="14">
        <f>AW90+AX90</f>
        <v>0</v>
      </c>
      <c r="BD90" s="14">
        <f>G90/(100-BE90)*100</f>
        <v>0</v>
      </c>
      <c r="BE90" s="14">
        <v>0</v>
      </c>
      <c r="BF90" s="14">
        <f>L90</f>
        <v>0.088</v>
      </c>
      <c r="BH90" s="7">
        <f>F90*AO90</f>
        <v>0</v>
      </c>
      <c r="BI90" s="7">
        <f>F90*AP90</f>
        <v>0</v>
      </c>
      <c r="BJ90" s="7">
        <f>F90*G90</f>
        <v>0</v>
      </c>
      <c r="BK90" s="7" t="s">
        <v>342</v>
      </c>
      <c r="BL90" s="14">
        <v>96</v>
      </c>
    </row>
    <row r="91" spans="1:64" ht="12.75">
      <c r="A91" s="40" t="s">
        <v>70</v>
      </c>
      <c r="B91" s="40"/>
      <c r="C91" s="40" t="s">
        <v>147</v>
      </c>
      <c r="D91" s="53" t="s">
        <v>251</v>
      </c>
      <c r="E91" s="40" t="s">
        <v>276</v>
      </c>
      <c r="F91" s="41">
        <v>2.112</v>
      </c>
      <c r="G91" s="253"/>
      <c r="H91" s="41">
        <f>F91*AO91</f>
        <v>0</v>
      </c>
      <c r="I91" s="41">
        <f>F91*AP91</f>
        <v>0</v>
      </c>
      <c r="J91" s="41">
        <f>F91*G91</f>
        <v>0</v>
      </c>
      <c r="K91" s="41">
        <v>2</v>
      </c>
      <c r="L91" s="41">
        <f>F91*K91</f>
        <v>4.224</v>
      </c>
      <c r="M91" s="42"/>
      <c r="N91" s="35"/>
      <c r="Z91" s="14">
        <f>IF(AQ91="5",BJ91,0)</f>
        <v>0</v>
      </c>
      <c r="AB91" s="14">
        <f>IF(AQ91="1",BH91,0)</f>
        <v>0</v>
      </c>
      <c r="AC91" s="14">
        <f>IF(AQ91="1",BI91,0)</f>
        <v>0</v>
      </c>
      <c r="AD91" s="14">
        <f>IF(AQ91="7",BH91,0)</f>
        <v>0</v>
      </c>
      <c r="AE91" s="14">
        <f>IF(AQ91="7",BI91,0)</f>
        <v>0</v>
      </c>
      <c r="AF91" s="14">
        <f>IF(AQ91="2",BH91,0)</f>
        <v>0</v>
      </c>
      <c r="AG91" s="14">
        <f>IF(AQ91="2",BI91,0)</f>
        <v>0</v>
      </c>
      <c r="AH91" s="14">
        <f>IF(AQ91="0",BJ91,0)</f>
        <v>0</v>
      </c>
      <c r="AI91" s="10"/>
      <c r="AJ91" s="7">
        <f>IF(AN91=0,J91,0)</f>
        <v>0</v>
      </c>
      <c r="AK91" s="7">
        <f>IF(AN91=15,J91,0)</f>
        <v>0</v>
      </c>
      <c r="AL91" s="7">
        <f>IF(AN91=21,J91,0)</f>
        <v>0</v>
      </c>
      <c r="AN91" s="14">
        <v>21</v>
      </c>
      <c r="AO91" s="14">
        <f>G91*0</f>
        <v>0</v>
      </c>
      <c r="AP91" s="14">
        <f>G91*(1-0)</f>
        <v>0</v>
      </c>
      <c r="AQ91" s="15" t="s">
        <v>6</v>
      </c>
      <c r="AV91" s="14">
        <f>AW91+AX91</f>
        <v>0</v>
      </c>
      <c r="AW91" s="14">
        <f>F91*AO91</f>
        <v>0</v>
      </c>
      <c r="AX91" s="14">
        <f>F91*AP91</f>
        <v>0</v>
      </c>
      <c r="AY91" s="17" t="s">
        <v>324</v>
      </c>
      <c r="AZ91" s="17" t="s">
        <v>336</v>
      </c>
      <c r="BA91" s="10" t="s">
        <v>337</v>
      </c>
      <c r="BC91" s="14">
        <f>AW91+AX91</f>
        <v>0</v>
      </c>
      <c r="BD91" s="14">
        <f>G91/(100-BE91)*100</f>
        <v>0</v>
      </c>
      <c r="BE91" s="14">
        <v>0</v>
      </c>
      <c r="BF91" s="14">
        <f>L91</f>
        <v>4.224</v>
      </c>
      <c r="BH91" s="7">
        <f>F91*AO91</f>
        <v>0</v>
      </c>
      <c r="BI91" s="7">
        <f>F91*AP91</f>
        <v>0</v>
      </c>
      <c r="BJ91" s="7">
        <f>F91*G91</f>
        <v>0</v>
      </c>
      <c r="BK91" s="7" t="s">
        <v>342</v>
      </c>
      <c r="BL91" s="14">
        <v>96</v>
      </c>
    </row>
    <row r="92" spans="1:64" ht="12.75">
      <c r="A92" s="40" t="s">
        <v>71</v>
      </c>
      <c r="B92" s="40"/>
      <c r="C92" s="40" t="s">
        <v>148</v>
      </c>
      <c r="D92" s="53" t="s">
        <v>252</v>
      </c>
      <c r="E92" s="40" t="s">
        <v>280</v>
      </c>
      <c r="F92" s="41">
        <v>1</v>
      </c>
      <c r="G92" s="253"/>
      <c r="H92" s="41">
        <f>F92*AO92</f>
        <v>0</v>
      </c>
      <c r="I92" s="41">
        <f>F92*AP92</f>
        <v>0</v>
      </c>
      <c r="J92" s="41">
        <f>F92*G92</f>
        <v>0</v>
      </c>
      <c r="K92" s="41">
        <v>0</v>
      </c>
      <c r="L92" s="41">
        <f>F92*K92</f>
        <v>0</v>
      </c>
      <c r="M92" s="42"/>
      <c r="N92" s="35"/>
      <c r="Z92" s="14">
        <f>IF(AQ92="5",BJ92,0)</f>
        <v>0</v>
      </c>
      <c r="AB92" s="14">
        <f>IF(AQ92="1",BH92,0)</f>
        <v>0</v>
      </c>
      <c r="AC92" s="14">
        <f>IF(AQ92="1",BI92,0)</f>
        <v>0</v>
      </c>
      <c r="AD92" s="14">
        <f>IF(AQ92="7",BH92,0)</f>
        <v>0</v>
      </c>
      <c r="AE92" s="14">
        <f>IF(AQ92="7",BI92,0)</f>
        <v>0</v>
      </c>
      <c r="AF92" s="14">
        <f>IF(AQ92="2",BH92,0)</f>
        <v>0</v>
      </c>
      <c r="AG92" s="14">
        <f>IF(AQ92="2",BI92,0)</f>
        <v>0</v>
      </c>
      <c r="AH92" s="14">
        <f>IF(AQ92="0",BJ92,0)</f>
        <v>0</v>
      </c>
      <c r="AI92" s="10"/>
      <c r="AJ92" s="7">
        <f>IF(AN92=0,J92,0)</f>
        <v>0</v>
      </c>
      <c r="AK92" s="7">
        <f>IF(AN92=15,J92,0)</f>
        <v>0</v>
      </c>
      <c r="AL92" s="7">
        <f>IF(AN92=21,J92,0)</f>
        <v>0</v>
      </c>
      <c r="AN92" s="14">
        <v>21</v>
      </c>
      <c r="AO92" s="14">
        <f>G92*0</f>
        <v>0</v>
      </c>
      <c r="AP92" s="14">
        <f>G92*(1-0)</f>
        <v>0</v>
      </c>
      <c r="AQ92" s="15" t="s">
        <v>6</v>
      </c>
      <c r="AV92" s="14">
        <f>AW92+AX92</f>
        <v>0</v>
      </c>
      <c r="AW92" s="14">
        <f>F92*AO92</f>
        <v>0</v>
      </c>
      <c r="AX92" s="14">
        <f>F92*AP92</f>
        <v>0</v>
      </c>
      <c r="AY92" s="17" t="s">
        <v>324</v>
      </c>
      <c r="AZ92" s="17" t="s">
        <v>336</v>
      </c>
      <c r="BA92" s="10" t="s">
        <v>337</v>
      </c>
      <c r="BC92" s="14">
        <f>AW92+AX92</f>
        <v>0</v>
      </c>
      <c r="BD92" s="14">
        <f>G92/(100-BE92)*100</f>
        <v>0</v>
      </c>
      <c r="BE92" s="14">
        <v>0</v>
      </c>
      <c r="BF92" s="14">
        <f>L92</f>
        <v>0</v>
      </c>
      <c r="BH92" s="7">
        <f>F92*AO92</f>
        <v>0</v>
      </c>
      <c r="BI92" s="7">
        <f>F92*AP92</f>
        <v>0</v>
      </c>
      <c r="BJ92" s="7">
        <f>F92*G92</f>
        <v>0</v>
      </c>
      <c r="BK92" s="7" t="s">
        <v>342</v>
      </c>
      <c r="BL92" s="14">
        <v>96</v>
      </c>
    </row>
    <row r="93" spans="1:64" ht="12.75">
      <c r="A93" s="43" t="s">
        <v>72</v>
      </c>
      <c r="B93" s="43"/>
      <c r="C93" s="43" t="s">
        <v>149</v>
      </c>
      <c r="D93" s="54" t="s">
        <v>253</v>
      </c>
      <c r="E93" s="43" t="s">
        <v>279</v>
      </c>
      <c r="F93" s="44">
        <v>58.86</v>
      </c>
      <c r="G93" s="253"/>
      <c r="H93" s="44">
        <f>F93*AO93</f>
        <v>0</v>
      </c>
      <c r="I93" s="44">
        <f>F93*AP93</f>
        <v>0</v>
      </c>
      <c r="J93" s="44">
        <f>F93*G93</f>
        <v>0</v>
      </c>
      <c r="K93" s="44">
        <v>0.00248</v>
      </c>
      <c r="L93" s="44">
        <f>F93*K93</f>
        <v>0.14597279999999999</v>
      </c>
      <c r="M93" s="45"/>
      <c r="N93" s="35"/>
      <c r="Z93" s="14">
        <f>IF(AQ93="5",BJ93,0)</f>
        <v>0</v>
      </c>
      <c r="AB93" s="14">
        <f>IF(AQ93="1",BH93,0)</f>
        <v>0</v>
      </c>
      <c r="AC93" s="14">
        <f>IF(AQ93="1",BI93,0)</f>
        <v>0</v>
      </c>
      <c r="AD93" s="14">
        <f>IF(AQ93="7",BH93,0)</f>
        <v>0</v>
      </c>
      <c r="AE93" s="14">
        <f>IF(AQ93="7",BI93,0)</f>
        <v>0</v>
      </c>
      <c r="AF93" s="14">
        <f>IF(AQ93="2",BH93,0)</f>
        <v>0</v>
      </c>
      <c r="AG93" s="14">
        <f>IF(AQ93="2",BI93,0)</f>
        <v>0</v>
      </c>
      <c r="AH93" s="14">
        <f>IF(AQ93="0",BJ93,0)</f>
        <v>0</v>
      </c>
      <c r="AI93" s="10"/>
      <c r="AJ93" s="7">
        <f>IF(AN93=0,J93,0)</f>
        <v>0</v>
      </c>
      <c r="AK93" s="7">
        <f>IF(AN93=15,J93,0)</f>
        <v>0</v>
      </c>
      <c r="AL93" s="7">
        <f>IF(AN93=21,J93,0)</f>
        <v>0</v>
      </c>
      <c r="AN93" s="14">
        <v>21</v>
      </c>
      <c r="AO93" s="14">
        <f>G93*0</f>
        <v>0</v>
      </c>
      <c r="AP93" s="14">
        <f>G93*(1-0)</f>
        <v>0</v>
      </c>
      <c r="AQ93" s="15" t="s">
        <v>6</v>
      </c>
      <c r="AV93" s="14">
        <f>AW93+AX93</f>
        <v>0</v>
      </c>
      <c r="AW93" s="14">
        <f>F93*AO93</f>
        <v>0</v>
      </c>
      <c r="AX93" s="14">
        <f>F93*AP93</f>
        <v>0</v>
      </c>
      <c r="AY93" s="17" t="s">
        <v>324</v>
      </c>
      <c r="AZ93" s="17" t="s">
        <v>336</v>
      </c>
      <c r="BA93" s="10" t="s">
        <v>337</v>
      </c>
      <c r="BC93" s="14">
        <f>AW93+AX93</f>
        <v>0</v>
      </c>
      <c r="BD93" s="14">
        <f>G93/(100-BE93)*100</f>
        <v>0</v>
      </c>
      <c r="BE93" s="14">
        <v>0</v>
      </c>
      <c r="BF93" s="14">
        <f>L93</f>
        <v>0.14597279999999999</v>
      </c>
      <c r="BH93" s="7">
        <f>F93*AO93</f>
        <v>0</v>
      </c>
      <c r="BI93" s="7">
        <f>F93*AP93</f>
        <v>0</v>
      </c>
      <c r="BJ93" s="7">
        <f>F93*G93</f>
        <v>0</v>
      </c>
      <c r="BK93" s="7" t="s">
        <v>342</v>
      </c>
      <c r="BL93" s="14">
        <v>96</v>
      </c>
    </row>
    <row r="94" spans="1:47" ht="12.75">
      <c r="A94" s="36"/>
      <c r="B94" s="37"/>
      <c r="C94" s="37" t="s">
        <v>150</v>
      </c>
      <c r="D94" s="52" t="s">
        <v>254</v>
      </c>
      <c r="E94" s="36" t="s">
        <v>5</v>
      </c>
      <c r="F94" s="36" t="s">
        <v>5</v>
      </c>
      <c r="G94" s="254" t="s">
        <v>5</v>
      </c>
      <c r="H94" s="38">
        <f>SUM(H95:H95)</f>
        <v>0</v>
      </c>
      <c r="I94" s="38">
        <f>SUM(I95:I95)</f>
        <v>0</v>
      </c>
      <c r="J94" s="38">
        <f>SUM(J95:J95)</f>
        <v>0</v>
      </c>
      <c r="K94" s="39"/>
      <c r="L94" s="38">
        <f>SUM(L95:L95)</f>
        <v>0</v>
      </c>
      <c r="M94" s="39"/>
      <c r="N94" s="35"/>
      <c r="AI94" s="10"/>
      <c r="AS94" s="19">
        <f>SUM(AJ95:AJ95)</f>
        <v>0</v>
      </c>
      <c r="AT94" s="19">
        <f>SUM(AK95:AK95)</f>
        <v>0</v>
      </c>
      <c r="AU94" s="19">
        <f>SUM(AL95:AL95)</f>
        <v>0</v>
      </c>
    </row>
    <row r="95" spans="1:64" ht="12.75">
      <c r="A95" s="43" t="s">
        <v>73</v>
      </c>
      <c r="B95" s="43"/>
      <c r="C95" s="43" t="s">
        <v>151</v>
      </c>
      <c r="D95" s="54" t="s">
        <v>255</v>
      </c>
      <c r="E95" s="43" t="s">
        <v>277</v>
      </c>
      <c r="F95" s="61">
        <v>168.1001</v>
      </c>
      <c r="G95" s="253"/>
      <c r="H95" s="44">
        <f>F95*AO95</f>
        <v>0</v>
      </c>
      <c r="I95" s="44">
        <f>F95*AP95</f>
        <v>0</v>
      </c>
      <c r="J95" s="44">
        <f>F95*G95</f>
        <v>0</v>
      </c>
      <c r="K95" s="44">
        <v>0</v>
      </c>
      <c r="L95" s="44">
        <f>F95*K95</f>
        <v>0</v>
      </c>
      <c r="M95" s="45"/>
      <c r="N95" s="35"/>
      <c r="Z95" s="14">
        <f>IF(AQ95="5",BJ95,0)</f>
        <v>0</v>
      </c>
      <c r="AB95" s="14">
        <f>IF(AQ95="1",BH95,0)</f>
        <v>0</v>
      </c>
      <c r="AC95" s="14">
        <f>IF(AQ95="1",BI95,0)</f>
        <v>0</v>
      </c>
      <c r="AD95" s="14">
        <f>IF(AQ95="7",BH95,0)</f>
        <v>0</v>
      </c>
      <c r="AE95" s="14">
        <f>IF(AQ95="7",BI95,0)</f>
        <v>0</v>
      </c>
      <c r="AF95" s="14">
        <f>IF(AQ95="2",BH95,0)</f>
        <v>0</v>
      </c>
      <c r="AG95" s="14">
        <f>IF(AQ95="2",BI95,0)</f>
        <v>0</v>
      </c>
      <c r="AH95" s="14">
        <f>IF(AQ95="0",BJ95,0)</f>
        <v>0</v>
      </c>
      <c r="AI95" s="10"/>
      <c r="AJ95" s="7">
        <f>IF(AN95=0,J95,0)</f>
        <v>0</v>
      </c>
      <c r="AK95" s="7">
        <f>IF(AN95=15,J95,0)</f>
        <v>0</v>
      </c>
      <c r="AL95" s="7">
        <f>IF(AN95=21,J95,0)</f>
        <v>0</v>
      </c>
      <c r="AN95" s="14">
        <v>21</v>
      </c>
      <c r="AO95" s="14">
        <f>G95*0</f>
        <v>0</v>
      </c>
      <c r="AP95" s="14">
        <f>G95*(1-0)</f>
        <v>0</v>
      </c>
      <c r="AQ95" s="15" t="s">
        <v>10</v>
      </c>
      <c r="AV95" s="14">
        <f>AW95+AX95</f>
        <v>0</v>
      </c>
      <c r="AW95" s="14">
        <f>F95*AO95</f>
        <v>0</v>
      </c>
      <c r="AX95" s="14">
        <f>F95*AP95</f>
        <v>0</v>
      </c>
      <c r="AY95" s="17" t="s">
        <v>325</v>
      </c>
      <c r="AZ95" s="17" t="s">
        <v>336</v>
      </c>
      <c r="BA95" s="10" t="s">
        <v>337</v>
      </c>
      <c r="BC95" s="14">
        <f>AW95+AX95</f>
        <v>0</v>
      </c>
      <c r="BD95" s="14">
        <f>G95/(100-BE95)*100</f>
        <v>0</v>
      </c>
      <c r="BE95" s="14">
        <v>0</v>
      </c>
      <c r="BF95" s="14">
        <f>L95</f>
        <v>0</v>
      </c>
      <c r="BH95" s="7">
        <f>F95*AO95</f>
        <v>0</v>
      </c>
      <c r="BI95" s="7">
        <f>F95*AP95</f>
        <v>0</v>
      </c>
      <c r="BJ95" s="7">
        <f>F95*G95</f>
        <v>0</v>
      </c>
      <c r="BK95" s="7" t="s">
        <v>342</v>
      </c>
      <c r="BL95" s="14" t="s">
        <v>150</v>
      </c>
    </row>
    <row r="96" spans="1:47" ht="12.75">
      <c r="A96" s="36"/>
      <c r="B96" s="37"/>
      <c r="C96" s="37" t="s">
        <v>152</v>
      </c>
      <c r="D96" s="52" t="s">
        <v>256</v>
      </c>
      <c r="E96" s="36" t="s">
        <v>5</v>
      </c>
      <c r="F96" s="36" t="s">
        <v>5</v>
      </c>
      <c r="G96" s="254" t="s">
        <v>5</v>
      </c>
      <c r="H96" s="38">
        <f>SUM(H97:H101)</f>
        <v>0</v>
      </c>
      <c r="I96" s="38">
        <f>SUM(I97:I101)</f>
        <v>0</v>
      </c>
      <c r="J96" s="38">
        <f>SUM(J97:J101)</f>
        <v>0</v>
      </c>
      <c r="K96" s="39"/>
      <c r="L96" s="38">
        <f>SUM(L97:L101)</f>
        <v>0.16656191</v>
      </c>
      <c r="M96" s="39"/>
      <c r="N96" s="35"/>
      <c r="AI96" s="10"/>
      <c r="AS96" s="19">
        <f>SUM(AJ97:AJ101)</f>
        <v>0</v>
      </c>
      <c r="AT96" s="19">
        <f>SUM(AK97:AK101)</f>
        <v>0</v>
      </c>
      <c r="AU96" s="19">
        <f>SUM(AL97:AL101)</f>
        <v>0</v>
      </c>
    </row>
    <row r="97" spans="1:64" ht="12.75">
      <c r="A97" s="43" t="s">
        <v>74</v>
      </c>
      <c r="B97" s="43"/>
      <c r="C97" s="43" t="s">
        <v>153</v>
      </c>
      <c r="D97" s="54" t="s">
        <v>257</v>
      </c>
      <c r="E97" s="43" t="s">
        <v>281</v>
      </c>
      <c r="F97" s="44">
        <v>1</v>
      </c>
      <c r="G97" s="253"/>
      <c r="H97" s="44">
        <f>F97*AO97</f>
        <v>0</v>
      </c>
      <c r="I97" s="44">
        <f>F97*AP97</f>
        <v>0</v>
      </c>
      <c r="J97" s="44">
        <f>F97*G97</f>
        <v>0</v>
      </c>
      <c r="K97" s="44">
        <v>0</v>
      </c>
      <c r="L97" s="44">
        <f>F97*K97</f>
        <v>0</v>
      </c>
      <c r="M97" s="45"/>
      <c r="N97" s="35"/>
      <c r="Z97" s="14">
        <f>IF(AQ97="5",BJ97,0)</f>
        <v>0</v>
      </c>
      <c r="AB97" s="14">
        <f>IF(AQ97="1",BH97,0)</f>
        <v>0</v>
      </c>
      <c r="AC97" s="14">
        <f>IF(AQ97="1",BI97,0)</f>
        <v>0</v>
      </c>
      <c r="AD97" s="14">
        <f>IF(AQ97="7",BH97,0)</f>
        <v>0</v>
      </c>
      <c r="AE97" s="14">
        <f>IF(AQ97="7",BI97,0)</f>
        <v>0</v>
      </c>
      <c r="AF97" s="14">
        <f>IF(AQ97="2",BH97,0)</f>
        <v>0</v>
      </c>
      <c r="AG97" s="14">
        <f>IF(AQ97="2",BI97,0)</f>
        <v>0</v>
      </c>
      <c r="AH97" s="14">
        <f>IF(AQ97="0",BJ97,0)</f>
        <v>0</v>
      </c>
      <c r="AI97" s="10"/>
      <c r="AJ97" s="7">
        <f>IF(AN97=0,J97,0)</f>
        <v>0</v>
      </c>
      <c r="AK97" s="7">
        <f>IF(AN97=15,J97,0)</f>
        <v>0</v>
      </c>
      <c r="AL97" s="7">
        <f>IF(AN97=21,J97,0)</f>
        <v>0</v>
      </c>
      <c r="AN97" s="14">
        <v>21</v>
      </c>
      <c r="AO97" s="14">
        <f>G97*0</f>
        <v>0</v>
      </c>
      <c r="AP97" s="14">
        <f>G97*(1-0)</f>
        <v>0</v>
      </c>
      <c r="AQ97" s="15" t="s">
        <v>7</v>
      </c>
      <c r="AV97" s="14">
        <f>AW97+AX97</f>
        <v>0</v>
      </c>
      <c r="AW97" s="14">
        <f>F97*AO97</f>
        <v>0</v>
      </c>
      <c r="AX97" s="14">
        <f>F97*AP97</f>
        <v>0</v>
      </c>
      <c r="AY97" s="17" t="s">
        <v>326</v>
      </c>
      <c r="AZ97" s="17" t="s">
        <v>336</v>
      </c>
      <c r="BA97" s="10" t="s">
        <v>337</v>
      </c>
      <c r="BC97" s="14">
        <f>AW97+AX97</f>
        <v>0</v>
      </c>
      <c r="BD97" s="14">
        <f>G97/(100-BE97)*100</f>
        <v>0</v>
      </c>
      <c r="BE97" s="14">
        <v>0</v>
      </c>
      <c r="BF97" s="14">
        <f>L97</f>
        <v>0</v>
      </c>
      <c r="BH97" s="7">
        <f>F97*AO97</f>
        <v>0</v>
      </c>
      <c r="BI97" s="7">
        <f>F97*AP97</f>
        <v>0</v>
      </c>
      <c r="BJ97" s="7">
        <f>F97*G97</f>
        <v>0</v>
      </c>
      <c r="BK97" s="7" t="s">
        <v>342</v>
      </c>
      <c r="BL97" s="14" t="s">
        <v>152</v>
      </c>
    </row>
    <row r="98" spans="1:64" ht="12.75">
      <c r="A98" s="40" t="s">
        <v>75</v>
      </c>
      <c r="B98" s="40"/>
      <c r="C98" s="40" t="s">
        <v>154</v>
      </c>
      <c r="D98" s="53" t="s">
        <v>258</v>
      </c>
      <c r="E98" s="40" t="s">
        <v>281</v>
      </c>
      <c r="F98" s="41">
        <v>1</v>
      </c>
      <c r="G98" s="253"/>
      <c r="H98" s="41">
        <f>F98*AO98</f>
        <v>0</v>
      </c>
      <c r="I98" s="41">
        <f>F98*AP98</f>
        <v>0</v>
      </c>
      <c r="J98" s="41">
        <f>F98*G98</f>
        <v>0</v>
      </c>
      <c r="K98" s="41">
        <v>0</v>
      </c>
      <c r="L98" s="41">
        <f>F98*K98</f>
        <v>0</v>
      </c>
      <c r="M98" s="42"/>
      <c r="N98" s="35"/>
      <c r="Z98" s="14">
        <f>IF(AQ98="5",BJ98,0)</f>
        <v>0</v>
      </c>
      <c r="AB98" s="14">
        <f>IF(AQ98="1",BH98,0)</f>
        <v>0</v>
      </c>
      <c r="AC98" s="14">
        <f>IF(AQ98="1",BI98,0)</f>
        <v>0</v>
      </c>
      <c r="AD98" s="14">
        <f>IF(AQ98="7",BH98,0)</f>
        <v>0</v>
      </c>
      <c r="AE98" s="14">
        <f>IF(AQ98="7",BI98,0)</f>
        <v>0</v>
      </c>
      <c r="AF98" s="14">
        <f>IF(AQ98="2",BH98,0)</f>
        <v>0</v>
      </c>
      <c r="AG98" s="14">
        <f>IF(AQ98="2",BI98,0)</f>
        <v>0</v>
      </c>
      <c r="AH98" s="14">
        <f>IF(AQ98="0",BJ98,0)</f>
        <v>0</v>
      </c>
      <c r="AI98" s="10"/>
      <c r="AJ98" s="7">
        <f>IF(AN98=0,J98,0)</f>
        <v>0</v>
      </c>
      <c r="AK98" s="7">
        <f>IF(AN98=15,J98,0)</f>
        <v>0</v>
      </c>
      <c r="AL98" s="7">
        <f>IF(AN98=21,J98,0)</f>
        <v>0</v>
      </c>
      <c r="AN98" s="14">
        <v>21</v>
      </c>
      <c r="AO98" s="14">
        <f>G98*0</f>
        <v>0</v>
      </c>
      <c r="AP98" s="14">
        <f>G98*(1-0)</f>
        <v>0</v>
      </c>
      <c r="AQ98" s="15" t="s">
        <v>7</v>
      </c>
      <c r="AV98" s="14">
        <f>AW98+AX98</f>
        <v>0</v>
      </c>
      <c r="AW98" s="14">
        <f>F98*AO98</f>
        <v>0</v>
      </c>
      <c r="AX98" s="14">
        <f>F98*AP98</f>
        <v>0</v>
      </c>
      <c r="AY98" s="17" t="s">
        <v>326</v>
      </c>
      <c r="AZ98" s="17" t="s">
        <v>336</v>
      </c>
      <c r="BA98" s="10" t="s">
        <v>337</v>
      </c>
      <c r="BC98" s="14">
        <f>AW98+AX98</f>
        <v>0</v>
      </c>
      <c r="BD98" s="14">
        <f>G98/(100-BE98)*100</f>
        <v>0</v>
      </c>
      <c r="BE98" s="14">
        <v>0</v>
      </c>
      <c r="BF98" s="14">
        <f>L98</f>
        <v>0</v>
      </c>
      <c r="BH98" s="7">
        <f>F98*AO98</f>
        <v>0</v>
      </c>
      <c r="BI98" s="7">
        <f>F98*AP98</f>
        <v>0</v>
      </c>
      <c r="BJ98" s="7">
        <f>F98*G98</f>
        <v>0</v>
      </c>
      <c r="BK98" s="7" t="s">
        <v>342</v>
      </c>
      <c r="BL98" s="14" t="s">
        <v>152</v>
      </c>
    </row>
    <row r="99" spans="1:64" ht="25.5">
      <c r="A99" s="43" t="s">
        <v>76</v>
      </c>
      <c r="B99" s="43"/>
      <c r="C99" s="43" t="s">
        <v>155</v>
      </c>
      <c r="D99" s="54" t="s">
        <v>259</v>
      </c>
      <c r="E99" s="43" t="s">
        <v>279</v>
      </c>
      <c r="F99" s="44">
        <v>61.1565</v>
      </c>
      <c r="G99" s="253"/>
      <c r="H99" s="44">
        <f>F99*AO99</f>
        <v>0</v>
      </c>
      <c r="I99" s="44">
        <f>F99*AP99</f>
        <v>0</v>
      </c>
      <c r="J99" s="44">
        <f>F99*G99</f>
        <v>0</v>
      </c>
      <c r="K99" s="44">
        <v>0.00014</v>
      </c>
      <c r="L99" s="44">
        <f>F99*K99</f>
        <v>0.008561909999999999</v>
      </c>
      <c r="M99" s="45"/>
      <c r="N99" s="35"/>
      <c r="Z99" s="14">
        <f>IF(AQ99="5",BJ99,0)</f>
        <v>0</v>
      </c>
      <c r="AB99" s="14">
        <f>IF(AQ99="1",BH99,0)</f>
        <v>0</v>
      </c>
      <c r="AC99" s="14">
        <f>IF(AQ99="1",BI99,0)</f>
        <v>0</v>
      </c>
      <c r="AD99" s="14">
        <f>IF(AQ99="7",BH99,0)</f>
        <v>0</v>
      </c>
      <c r="AE99" s="14">
        <f>IF(AQ99="7",BI99,0)</f>
        <v>0</v>
      </c>
      <c r="AF99" s="14">
        <f>IF(AQ99="2",BH99,0)</f>
        <v>0</v>
      </c>
      <c r="AG99" s="14">
        <f>IF(AQ99="2",BI99,0)</f>
        <v>0</v>
      </c>
      <c r="AH99" s="14">
        <f>IF(AQ99="0",BJ99,0)</f>
        <v>0</v>
      </c>
      <c r="AI99" s="10"/>
      <c r="AJ99" s="7">
        <f>IF(AN99=0,J99,0)</f>
        <v>0</v>
      </c>
      <c r="AK99" s="7">
        <f>IF(AN99=15,J99,0)</f>
        <v>0</v>
      </c>
      <c r="AL99" s="7">
        <f>IF(AN99=21,J99,0)</f>
        <v>0</v>
      </c>
      <c r="AN99" s="14">
        <v>21</v>
      </c>
      <c r="AO99" s="14">
        <f>G99*0.324791061421414</f>
        <v>0</v>
      </c>
      <c r="AP99" s="14">
        <f>G99*(1-0.324791061421414)</f>
        <v>0</v>
      </c>
      <c r="AQ99" s="15" t="s">
        <v>7</v>
      </c>
      <c r="AV99" s="14">
        <f>AW99+AX99</f>
        <v>0</v>
      </c>
      <c r="AW99" s="14">
        <f>F99*AO99</f>
        <v>0</v>
      </c>
      <c r="AX99" s="14">
        <f>F99*AP99</f>
        <v>0</v>
      </c>
      <c r="AY99" s="17" t="s">
        <v>326</v>
      </c>
      <c r="AZ99" s="17" t="s">
        <v>336</v>
      </c>
      <c r="BA99" s="10" t="s">
        <v>337</v>
      </c>
      <c r="BC99" s="14">
        <f>AW99+AX99</f>
        <v>0</v>
      </c>
      <c r="BD99" s="14">
        <f>G99/(100-BE99)*100</f>
        <v>0</v>
      </c>
      <c r="BE99" s="14">
        <v>0</v>
      </c>
      <c r="BF99" s="14">
        <f>L99</f>
        <v>0.008561909999999999</v>
      </c>
      <c r="BH99" s="7">
        <f>F99*AO99</f>
        <v>0</v>
      </c>
      <c r="BI99" s="7">
        <f>F99*AP99</f>
        <v>0</v>
      </c>
      <c r="BJ99" s="7">
        <f>F99*G99</f>
        <v>0</v>
      </c>
      <c r="BK99" s="7" t="s">
        <v>342</v>
      </c>
      <c r="BL99" s="14" t="s">
        <v>152</v>
      </c>
    </row>
    <row r="100" spans="1:64" ht="12.75">
      <c r="A100" s="43" t="s">
        <v>77</v>
      </c>
      <c r="B100" s="43"/>
      <c r="C100" s="43" t="s">
        <v>156</v>
      </c>
      <c r="D100" s="54" t="s">
        <v>260</v>
      </c>
      <c r="E100" s="43" t="s">
        <v>278</v>
      </c>
      <c r="F100" s="44">
        <v>1.74</v>
      </c>
      <c r="G100" s="253"/>
      <c r="H100" s="44">
        <f>F100*AO100</f>
        <v>0</v>
      </c>
      <c r="I100" s="44">
        <f>F100*AP100</f>
        <v>0</v>
      </c>
      <c r="J100" s="44">
        <f>F100*G100</f>
        <v>0</v>
      </c>
      <c r="K100" s="44">
        <v>0</v>
      </c>
      <c r="L100" s="44">
        <f>F100*K100</f>
        <v>0</v>
      </c>
      <c r="M100" s="45"/>
      <c r="N100" s="35"/>
      <c r="Z100" s="14">
        <f>IF(AQ100="5",BJ100,0)</f>
        <v>0</v>
      </c>
      <c r="AB100" s="14">
        <f>IF(AQ100="1",BH100,0)</f>
        <v>0</v>
      </c>
      <c r="AC100" s="14">
        <f>IF(AQ100="1",BI100,0)</f>
        <v>0</v>
      </c>
      <c r="AD100" s="14">
        <f>IF(AQ100="7",BH100,0)</f>
        <v>0</v>
      </c>
      <c r="AE100" s="14">
        <f>IF(AQ100="7",BI100,0)</f>
        <v>0</v>
      </c>
      <c r="AF100" s="14">
        <f>IF(AQ100="2",BH100,0)</f>
        <v>0</v>
      </c>
      <c r="AG100" s="14">
        <f>IF(AQ100="2",BI100,0)</f>
        <v>0</v>
      </c>
      <c r="AH100" s="14">
        <f>IF(AQ100="0",BJ100,0)</f>
        <v>0</v>
      </c>
      <c r="AI100" s="10"/>
      <c r="AJ100" s="7">
        <f>IF(AN100=0,J100,0)</f>
        <v>0</v>
      </c>
      <c r="AK100" s="7">
        <f>IF(AN100=15,J100,0)</f>
        <v>0</v>
      </c>
      <c r="AL100" s="7">
        <f>IF(AN100=21,J100,0)</f>
        <v>0</v>
      </c>
      <c r="AN100" s="14">
        <v>21</v>
      </c>
      <c r="AO100" s="14">
        <f>G100*0</f>
        <v>0</v>
      </c>
      <c r="AP100" s="14">
        <f>G100*(1-0)</f>
        <v>0</v>
      </c>
      <c r="AQ100" s="15" t="s">
        <v>7</v>
      </c>
      <c r="AV100" s="14">
        <f>AW100+AX100</f>
        <v>0</v>
      </c>
      <c r="AW100" s="14">
        <f>F100*AO100</f>
        <v>0</v>
      </c>
      <c r="AX100" s="14">
        <f>F100*AP100</f>
        <v>0</v>
      </c>
      <c r="AY100" s="17" t="s">
        <v>326</v>
      </c>
      <c r="AZ100" s="17" t="s">
        <v>336</v>
      </c>
      <c r="BA100" s="10" t="s">
        <v>337</v>
      </c>
      <c r="BC100" s="14">
        <f>AW100+AX100</f>
        <v>0</v>
      </c>
      <c r="BD100" s="14">
        <f>G100/(100-BE100)*100</f>
        <v>0</v>
      </c>
      <c r="BE100" s="14">
        <v>0</v>
      </c>
      <c r="BF100" s="14">
        <f>L100</f>
        <v>0</v>
      </c>
      <c r="BH100" s="7">
        <f>F100*AO100</f>
        <v>0</v>
      </c>
      <c r="BI100" s="7">
        <f>F100*AP100</f>
        <v>0</v>
      </c>
      <c r="BJ100" s="7">
        <f>F100*G100</f>
        <v>0</v>
      </c>
      <c r="BK100" s="7" t="s">
        <v>342</v>
      </c>
      <c r="BL100" s="14" t="s">
        <v>152</v>
      </c>
    </row>
    <row r="101" spans="1:64" ht="12.75">
      <c r="A101" s="49" t="s">
        <v>78</v>
      </c>
      <c r="B101" s="49"/>
      <c r="C101" s="49" t="s">
        <v>157</v>
      </c>
      <c r="D101" s="56" t="s">
        <v>261</v>
      </c>
      <c r="E101" s="49" t="s">
        <v>278</v>
      </c>
      <c r="F101" s="50">
        <v>2</v>
      </c>
      <c r="G101" s="255"/>
      <c r="H101" s="50">
        <f>F101*AO101</f>
        <v>0</v>
      </c>
      <c r="I101" s="50">
        <f>F101*AP101</f>
        <v>0</v>
      </c>
      <c r="J101" s="50">
        <f>F101*G101</f>
        <v>0</v>
      </c>
      <c r="K101" s="50">
        <v>0.079</v>
      </c>
      <c r="L101" s="50">
        <f>F101*K101</f>
        <v>0.158</v>
      </c>
      <c r="M101" s="51"/>
      <c r="N101" s="35"/>
      <c r="Z101" s="14">
        <f>IF(AQ101="5",BJ101,0)</f>
        <v>0</v>
      </c>
      <c r="AB101" s="14">
        <f>IF(AQ101="1",BH101,0)</f>
        <v>0</v>
      </c>
      <c r="AC101" s="14">
        <f>IF(AQ101="1",BI101,0)</f>
        <v>0</v>
      </c>
      <c r="AD101" s="14">
        <f>IF(AQ101="7",BH101,0)</f>
        <v>0</v>
      </c>
      <c r="AE101" s="14">
        <f>IF(AQ101="7",BI101,0)</f>
        <v>0</v>
      </c>
      <c r="AF101" s="14">
        <f>IF(AQ101="2",BH101,0)</f>
        <v>0</v>
      </c>
      <c r="AG101" s="14">
        <f>IF(AQ101="2",BI101,0)</f>
        <v>0</v>
      </c>
      <c r="AH101" s="14">
        <f>IF(AQ101="0",BJ101,0)</f>
        <v>0</v>
      </c>
      <c r="AI101" s="10"/>
      <c r="AJ101" s="8">
        <f>IF(AN101=0,J101,0)</f>
        <v>0</v>
      </c>
      <c r="AK101" s="8">
        <f>IF(AN101=15,J101,0)</f>
        <v>0</v>
      </c>
      <c r="AL101" s="8">
        <f>IF(AN101=21,J101,0)</f>
        <v>0</v>
      </c>
      <c r="AN101" s="14">
        <v>21</v>
      </c>
      <c r="AO101" s="14">
        <f>G101*1</f>
        <v>0</v>
      </c>
      <c r="AP101" s="14">
        <f>G101*(1-1)</f>
        <v>0</v>
      </c>
      <c r="AQ101" s="16" t="s">
        <v>6</v>
      </c>
      <c r="AV101" s="14">
        <f>AW101+AX101</f>
        <v>0</v>
      </c>
      <c r="AW101" s="14">
        <f>F101*AO101</f>
        <v>0</v>
      </c>
      <c r="AX101" s="14">
        <f>F101*AP101</f>
        <v>0</v>
      </c>
      <c r="AY101" s="17" t="s">
        <v>326</v>
      </c>
      <c r="AZ101" s="17" t="s">
        <v>336</v>
      </c>
      <c r="BA101" s="10" t="s">
        <v>337</v>
      </c>
      <c r="BC101" s="14">
        <f>AW101+AX101</f>
        <v>0</v>
      </c>
      <c r="BD101" s="14">
        <f>G101/(100-BE101)*100</f>
        <v>0</v>
      </c>
      <c r="BE101" s="14">
        <v>0</v>
      </c>
      <c r="BF101" s="14">
        <f>L101</f>
        <v>0.158</v>
      </c>
      <c r="BH101" s="8">
        <f>F101*AO101</f>
        <v>0</v>
      </c>
      <c r="BI101" s="8">
        <f>F101*AP101</f>
        <v>0</v>
      </c>
      <c r="BJ101" s="8">
        <f>F101*G101</f>
        <v>0</v>
      </c>
      <c r="BK101" s="8" t="s">
        <v>343</v>
      </c>
      <c r="BL101" s="14" t="s">
        <v>152</v>
      </c>
    </row>
    <row r="102" spans="1:47" ht="12.75">
      <c r="A102" s="36"/>
      <c r="B102" s="37"/>
      <c r="C102" s="37" t="s">
        <v>158</v>
      </c>
      <c r="D102" s="52" t="s">
        <v>262</v>
      </c>
      <c r="E102" s="36" t="s">
        <v>5</v>
      </c>
      <c r="F102" s="36" t="s">
        <v>5</v>
      </c>
      <c r="G102" s="254" t="s">
        <v>5</v>
      </c>
      <c r="H102" s="38">
        <f>SUM(H103:H110)</f>
        <v>0</v>
      </c>
      <c r="I102" s="38">
        <f>SUM(I103:I110)</f>
        <v>0</v>
      </c>
      <c r="J102" s="38">
        <f>SUM(J103:J110)</f>
        <v>0</v>
      </c>
      <c r="K102" s="39"/>
      <c r="L102" s="38">
        <f>SUM(L103:L110)</f>
        <v>0</v>
      </c>
      <c r="M102" s="39"/>
      <c r="N102" s="35"/>
      <c r="AI102" s="10"/>
      <c r="AS102" s="19">
        <f>SUM(AJ103:AJ110)</f>
        <v>0</v>
      </c>
      <c r="AT102" s="19">
        <f>SUM(AK103:AK110)</f>
        <v>0</v>
      </c>
      <c r="AU102" s="19">
        <f>SUM(AL103:AL110)</f>
        <v>0</v>
      </c>
    </row>
    <row r="103" spans="1:64" ht="12.75">
      <c r="A103" s="43" t="s">
        <v>79</v>
      </c>
      <c r="B103" s="43"/>
      <c r="C103" s="43" t="s">
        <v>159</v>
      </c>
      <c r="D103" s="54" t="s">
        <v>263</v>
      </c>
      <c r="E103" s="43" t="s">
        <v>277</v>
      </c>
      <c r="F103" s="61">
        <v>4.458</v>
      </c>
      <c r="G103" s="253"/>
      <c r="H103" s="44">
        <f aca="true" t="shared" si="124" ref="H103:H110">F103*AO103</f>
        <v>0</v>
      </c>
      <c r="I103" s="44">
        <f aca="true" t="shared" si="125" ref="I103:I110">F103*AP103</f>
        <v>0</v>
      </c>
      <c r="J103" s="44">
        <f aca="true" t="shared" si="126" ref="J103:J110">F103*G103</f>
        <v>0</v>
      </c>
      <c r="K103" s="44">
        <v>0</v>
      </c>
      <c r="L103" s="44">
        <f aca="true" t="shared" si="127" ref="L103:L110">F103*K103</f>
        <v>0</v>
      </c>
      <c r="M103" s="45"/>
      <c r="N103" s="35"/>
      <c r="Z103" s="14">
        <f aca="true" t="shared" si="128" ref="Z103:Z110">IF(AQ103="5",BJ103,0)</f>
        <v>0</v>
      </c>
      <c r="AB103" s="14">
        <f aca="true" t="shared" si="129" ref="AB103:AB110">IF(AQ103="1",BH103,0)</f>
        <v>0</v>
      </c>
      <c r="AC103" s="14">
        <f aca="true" t="shared" si="130" ref="AC103:AC110">IF(AQ103="1",BI103,0)</f>
        <v>0</v>
      </c>
      <c r="AD103" s="14">
        <f aca="true" t="shared" si="131" ref="AD103:AD110">IF(AQ103="7",BH103,0)</f>
        <v>0</v>
      </c>
      <c r="AE103" s="14">
        <f aca="true" t="shared" si="132" ref="AE103:AE110">IF(AQ103="7",BI103,0)</f>
        <v>0</v>
      </c>
      <c r="AF103" s="14">
        <f aca="true" t="shared" si="133" ref="AF103:AF110">IF(AQ103="2",BH103,0)</f>
        <v>0</v>
      </c>
      <c r="AG103" s="14">
        <f aca="true" t="shared" si="134" ref="AG103:AG110">IF(AQ103="2",BI103,0)</f>
        <v>0</v>
      </c>
      <c r="AH103" s="14">
        <f aca="true" t="shared" si="135" ref="AH103:AH110">IF(AQ103="0",BJ103,0)</f>
        <v>0</v>
      </c>
      <c r="AI103" s="10"/>
      <c r="AJ103" s="7">
        <f aca="true" t="shared" si="136" ref="AJ103:AJ110">IF(AN103=0,J103,0)</f>
        <v>0</v>
      </c>
      <c r="AK103" s="7">
        <f aca="true" t="shared" si="137" ref="AK103:AK110">IF(AN103=15,J103,0)</f>
        <v>0</v>
      </c>
      <c r="AL103" s="7">
        <f aca="true" t="shared" si="138" ref="AL103:AL110">IF(AN103=21,J103,0)</f>
        <v>0</v>
      </c>
      <c r="AN103" s="14">
        <v>21</v>
      </c>
      <c r="AO103" s="14">
        <f aca="true" t="shared" si="139" ref="AO103:AO110">G103*0</f>
        <v>0</v>
      </c>
      <c r="AP103" s="14">
        <f aca="true" t="shared" si="140" ref="AP103:AP110">G103*(1-0)</f>
        <v>0</v>
      </c>
      <c r="AQ103" s="15" t="s">
        <v>10</v>
      </c>
      <c r="AV103" s="14">
        <f aca="true" t="shared" si="141" ref="AV103:AV110">AW103+AX103</f>
        <v>0</v>
      </c>
      <c r="AW103" s="14">
        <f aca="true" t="shared" si="142" ref="AW103:AW110">F103*AO103</f>
        <v>0</v>
      </c>
      <c r="AX103" s="14">
        <f aca="true" t="shared" si="143" ref="AX103:AX110">F103*AP103</f>
        <v>0</v>
      </c>
      <c r="AY103" s="17" t="s">
        <v>327</v>
      </c>
      <c r="AZ103" s="17" t="s">
        <v>336</v>
      </c>
      <c r="BA103" s="10" t="s">
        <v>337</v>
      </c>
      <c r="BC103" s="14">
        <f aca="true" t="shared" si="144" ref="BC103:BC110">AW103+AX103</f>
        <v>0</v>
      </c>
      <c r="BD103" s="14">
        <f aca="true" t="shared" si="145" ref="BD103:BD110">G103/(100-BE103)*100</f>
        <v>0</v>
      </c>
      <c r="BE103" s="14">
        <v>0</v>
      </c>
      <c r="BF103" s="14">
        <f aca="true" t="shared" si="146" ref="BF103:BF110">L103</f>
        <v>0</v>
      </c>
      <c r="BH103" s="7">
        <f aca="true" t="shared" si="147" ref="BH103:BH110">F103*AO103</f>
        <v>0</v>
      </c>
      <c r="BI103" s="7">
        <f aca="true" t="shared" si="148" ref="BI103:BI110">F103*AP103</f>
        <v>0</v>
      </c>
      <c r="BJ103" s="7">
        <f aca="true" t="shared" si="149" ref="BJ103:BJ110">F103*G103</f>
        <v>0</v>
      </c>
      <c r="BK103" s="7" t="s">
        <v>342</v>
      </c>
      <c r="BL103" s="14" t="s">
        <v>158</v>
      </c>
    </row>
    <row r="104" spans="1:64" ht="12.75">
      <c r="A104" s="40" t="s">
        <v>80</v>
      </c>
      <c r="B104" s="40"/>
      <c r="C104" s="40" t="s">
        <v>160</v>
      </c>
      <c r="D104" s="53" t="s">
        <v>264</v>
      </c>
      <c r="E104" s="40" t="s">
        <v>277</v>
      </c>
      <c r="F104" s="60">
        <v>17.832</v>
      </c>
      <c r="G104" s="253"/>
      <c r="H104" s="41">
        <f t="shared" si="124"/>
        <v>0</v>
      </c>
      <c r="I104" s="41">
        <f t="shared" si="125"/>
        <v>0</v>
      </c>
      <c r="J104" s="41">
        <f t="shared" si="126"/>
        <v>0</v>
      </c>
      <c r="K104" s="41">
        <v>0</v>
      </c>
      <c r="L104" s="41">
        <f t="shared" si="127"/>
        <v>0</v>
      </c>
      <c r="M104" s="42"/>
      <c r="N104" s="35"/>
      <c r="Z104" s="14">
        <f t="shared" si="128"/>
        <v>0</v>
      </c>
      <c r="AB104" s="14">
        <f t="shared" si="129"/>
        <v>0</v>
      </c>
      <c r="AC104" s="14">
        <f t="shared" si="130"/>
        <v>0</v>
      </c>
      <c r="AD104" s="14">
        <f t="shared" si="131"/>
        <v>0</v>
      </c>
      <c r="AE104" s="14">
        <f t="shared" si="132"/>
        <v>0</v>
      </c>
      <c r="AF104" s="14">
        <f t="shared" si="133"/>
        <v>0</v>
      </c>
      <c r="AG104" s="14">
        <f t="shared" si="134"/>
        <v>0</v>
      </c>
      <c r="AH104" s="14">
        <f t="shared" si="135"/>
        <v>0</v>
      </c>
      <c r="AI104" s="10"/>
      <c r="AJ104" s="7">
        <f t="shared" si="136"/>
        <v>0</v>
      </c>
      <c r="AK104" s="7">
        <f t="shared" si="137"/>
        <v>0</v>
      </c>
      <c r="AL104" s="7">
        <f t="shared" si="138"/>
        <v>0</v>
      </c>
      <c r="AN104" s="14">
        <v>21</v>
      </c>
      <c r="AO104" s="14">
        <f t="shared" si="139"/>
        <v>0</v>
      </c>
      <c r="AP104" s="14">
        <f t="shared" si="140"/>
        <v>0</v>
      </c>
      <c r="AQ104" s="15" t="s">
        <v>10</v>
      </c>
      <c r="AV104" s="14">
        <f t="shared" si="141"/>
        <v>0</v>
      </c>
      <c r="AW104" s="14">
        <f t="shared" si="142"/>
        <v>0</v>
      </c>
      <c r="AX104" s="14">
        <f t="shared" si="143"/>
        <v>0</v>
      </c>
      <c r="AY104" s="17" t="s">
        <v>327</v>
      </c>
      <c r="AZ104" s="17" t="s">
        <v>336</v>
      </c>
      <c r="BA104" s="10" t="s">
        <v>337</v>
      </c>
      <c r="BC104" s="14">
        <f t="shared" si="144"/>
        <v>0</v>
      </c>
      <c r="BD104" s="14">
        <f t="shared" si="145"/>
        <v>0</v>
      </c>
      <c r="BE104" s="14">
        <v>0</v>
      </c>
      <c r="BF104" s="14">
        <f t="shared" si="146"/>
        <v>0</v>
      </c>
      <c r="BH104" s="7">
        <f t="shared" si="147"/>
        <v>0</v>
      </c>
      <c r="BI104" s="7">
        <f t="shared" si="148"/>
        <v>0</v>
      </c>
      <c r="BJ104" s="7">
        <f t="shared" si="149"/>
        <v>0</v>
      </c>
      <c r="BK104" s="7" t="s">
        <v>342</v>
      </c>
      <c r="BL104" s="14" t="s">
        <v>158</v>
      </c>
    </row>
    <row r="105" spans="1:64" ht="12.75">
      <c r="A105" s="40" t="s">
        <v>81</v>
      </c>
      <c r="B105" s="40"/>
      <c r="C105" s="40" t="s">
        <v>161</v>
      </c>
      <c r="D105" s="53" t="s">
        <v>265</v>
      </c>
      <c r="E105" s="40" t="s">
        <v>277</v>
      </c>
      <c r="F105" s="60">
        <v>4.458</v>
      </c>
      <c r="G105" s="253"/>
      <c r="H105" s="41">
        <f t="shared" si="124"/>
        <v>0</v>
      </c>
      <c r="I105" s="41">
        <f t="shared" si="125"/>
        <v>0</v>
      </c>
      <c r="J105" s="41">
        <f t="shared" si="126"/>
        <v>0</v>
      </c>
      <c r="K105" s="41">
        <v>0</v>
      </c>
      <c r="L105" s="41">
        <f t="shared" si="127"/>
        <v>0</v>
      </c>
      <c r="M105" s="42"/>
      <c r="N105" s="35"/>
      <c r="Z105" s="14">
        <f t="shared" si="128"/>
        <v>0</v>
      </c>
      <c r="AB105" s="14">
        <f t="shared" si="129"/>
        <v>0</v>
      </c>
      <c r="AC105" s="14">
        <f t="shared" si="130"/>
        <v>0</v>
      </c>
      <c r="AD105" s="14">
        <f t="shared" si="131"/>
        <v>0</v>
      </c>
      <c r="AE105" s="14">
        <f t="shared" si="132"/>
        <v>0</v>
      </c>
      <c r="AF105" s="14">
        <f t="shared" si="133"/>
        <v>0</v>
      </c>
      <c r="AG105" s="14">
        <f t="shared" si="134"/>
        <v>0</v>
      </c>
      <c r="AH105" s="14">
        <f t="shared" si="135"/>
        <v>0</v>
      </c>
      <c r="AI105" s="10"/>
      <c r="AJ105" s="7">
        <f t="shared" si="136"/>
        <v>0</v>
      </c>
      <c r="AK105" s="7">
        <f t="shared" si="137"/>
        <v>0</v>
      </c>
      <c r="AL105" s="7">
        <f t="shared" si="138"/>
        <v>0</v>
      </c>
      <c r="AN105" s="14">
        <v>21</v>
      </c>
      <c r="AO105" s="14">
        <f t="shared" si="139"/>
        <v>0</v>
      </c>
      <c r="AP105" s="14">
        <f t="shared" si="140"/>
        <v>0</v>
      </c>
      <c r="AQ105" s="15" t="s">
        <v>10</v>
      </c>
      <c r="AV105" s="14">
        <f t="shared" si="141"/>
        <v>0</v>
      </c>
      <c r="AW105" s="14">
        <f t="shared" si="142"/>
        <v>0</v>
      </c>
      <c r="AX105" s="14">
        <f t="shared" si="143"/>
        <v>0</v>
      </c>
      <c r="AY105" s="17" t="s">
        <v>327</v>
      </c>
      <c r="AZ105" s="17" t="s">
        <v>336</v>
      </c>
      <c r="BA105" s="10" t="s">
        <v>337</v>
      </c>
      <c r="BC105" s="14">
        <f t="shared" si="144"/>
        <v>0</v>
      </c>
      <c r="BD105" s="14">
        <f t="shared" si="145"/>
        <v>0</v>
      </c>
      <c r="BE105" s="14">
        <v>0</v>
      </c>
      <c r="BF105" s="14">
        <f t="shared" si="146"/>
        <v>0</v>
      </c>
      <c r="BH105" s="7">
        <f t="shared" si="147"/>
        <v>0</v>
      </c>
      <c r="BI105" s="7">
        <f t="shared" si="148"/>
        <v>0</v>
      </c>
      <c r="BJ105" s="7">
        <f t="shared" si="149"/>
        <v>0</v>
      </c>
      <c r="BK105" s="7" t="s">
        <v>342</v>
      </c>
      <c r="BL105" s="14" t="s">
        <v>158</v>
      </c>
    </row>
    <row r="106" spans="1:64" ht="12.75">
      <c r="A106" s="40" t="s">
        <v>82</v>
      </c>
      <c r="B106" s="40"/>
      <c r="C106" s="40" t="s">
        <v>162</v>
      </c>
      <c r="D106" s="53" t="s">
        <v>266</v>
      </c>
      <c r="E106" s="40" t="s">
        <v>277</v>
      </c>
      <c r="F106" s="60">
        <v>4.458</v>
      </c>
      <c r="G106" s="253"/>
      <c r="H106" s="41">
        <f t="shared" si="124"/>
        <v>0</v>
      </c>
      <c r="I106" s="41">
        <f t="shared" si="125"/>
        <v>0</v>
      </c>
      <c r="J106" s="41">
        <f t="shared" si="126"/>
        <v>0</v>
      </c>
      <c r="K106" s="41">
        <v>0</v>
      </c>
      <c r="L106" s="41">
        <f t="shared" si="127"/>
        <v>0</v>
      </c>
      <c r="M106" s="42"/>
      <c r="N106" s="35"/>
      <c r="Z106" s="14">
        <f t="shared" si="128"/>
        <v>0</v>
      </c>
      <c r="AB106" s="14">
        <f t="shared" si="129"/>
        <v>0</v>
      </c>
      <c r="AC106" s="14">
        <f t="shared" si="130"/>
        <v>0</v>
      </c>
      <c r="AD106" s="14">
        <f t="shared" si="131"/>
        <v>0</v>
      </c>
      <c r="AE106" s="14">
        <f t="shared" si="132"/>
        <v>0</v>
      </c>
      <c r="AF106" s="14">
        <f t="shared" si="133"/>
        <v>0</v>
      </c>
      <c r="AG106" s="14">
        <f t="shared" si="134"/>
        <v>0</v>
      </c>
      <c r="AH106" s="14">
        <f t="shared" si="135"/>
        <v>0</v>
      </c>
      <c r="AI106" s="10"/>
      <c r="AJ106" s="7">
        <f t="shared" si="136"/>
        <v>0</v>
      </c>
      <c r="AK106" s="7">
        <f t="shared" si="137"/>
        <v>0</v>
      </c>
      <c r="AL106" s="7">
        <f t="shared" si="138"/>
        <v>0</v>
      </c>
      <c r="AN106" s="14">
        <v>21</v>
      </c>
      <c r="AO106" s="14">
        <f t="shared" si="139"/>
        <v>0</v>
      </c>
      <c r="AP106" s="14">
        <f t="shared" si="140"/>
        <v>0</v>
      </c>
      <c r="AQ106" s="15" t="s">
        <v>10</v>
      </c>
      <c r="AV106" s="14">
        <f t="shared" si="141"/>
        <v>0</v>
      </c>
      <c r="AW106" s="14">
        <f t="shared" si="142"/>
        <v>0</v>
      </c>
      <c r="AX106" s="14">
        <f t="shared" si="143"/>
        <v>0</v>
      </c>
      <c r="AY106" s="17" t="s">
        <v>327</v>
      </c>
      <c r="AZ106" s="17" t="s">
        <v>336</v>
      </c>
      <c r="BA106" s="10" t="s">
        <v>337</v>
      </c>
      <c r="BC106" s="14">
        <f t="shared" si="144"/>
        <v>0</v>
      </c>
      <c r="BD106" s="14">
        <f t="shared" si="145"/>
        <v>0</v>
      </c>
      <c r="BE106" s="14">
        <v>0</v>
      </c>
      <c r="BF106" s="14">
        <f t="shared" si="146"/>
        <v>0</v>
      </c>
      <c r="BH106" s="7">
        <f t="shared" si="147"/>
        <v>0</v>
      </c>
      <c r="BI106" s="7">
        <f t="shared" si="148"/>
        <v>0</v>
      </c>
      <c r="BJ106" s="7">
        <f t="shared" si="149"/>
        <v>0</v>
      </c>
      <c r="BK106" s="7" t="s">
        <v>342</v>
      </c>
      <c r="BL106" s="14" t="s">
        <v>158</v>
      </c>
    </row>
    <row r="107" spans="1:64" ht="12.75">
      <c r="A107" s="40" t="s">
        <v>83</v>
      </c>
      <c r="B107" s="40"/>
      <c r="C107" s="40" t="s">
        <v>163</v>
      </c>
      <c r="D107" s="53" t="s">
        <v>267</v>
      </c>
      <c r="E107" s="40" t="s">
        <v>277</v>
      </c>
      <c r="F107" s="60">
        <v>84.702</v>
      </c>
      <c r="G107" s="253"/>
      <c r="H107" s="41">
        <f t="shared" si="124"/>
        <v>0</v>
      </c>
      <c r="I107" s="41">
        <f t="shared" si="125"/>
        <v>0</v>
      </c>
      <c r="J107" s="41">
        <f t="shared" si="126"/>
        <v>0</v>
      </c>
      <c r="K107" s="41">
        <v>0</v>
      </c>
      <c r="L107" s="41">
        <f t="shared" si="127"/>
        <v>0</v>
      </c>
      <c r="M107" s="42"/>
      <c r="N107" s="35"/>
      <c r="Z107" s="14">
        <f t="shared" si="128"/>
        <v>0</v>
      </c>
      <c r="AB107" s="14">
        <f t="shared" si="129"/>
        <v>0</v>
      </c>
      <c r="AC107" s="14">
        <f t="shared" si="130"/>
        <v>0</v>
      </c>
      <c r="AD107" s="14">
        <f t="shared" si="131"/>
        <v>0</v>
      </c>
      <c r="AE107" s="14">
        <f t="shared" si="132"/>
        <v>0</v>
      </c>
      <c r="AF107" s="14">
        <f t="shared" si="133"/>
        <v>0</v>
      </c>
      <c r="AG107" s="14">
        <f t="shared" si="134"/>
        <v>0</v>
      </c>
      <c r="AH107" s="14">
        <f t="shared" si="135"/>
        <v>0</v>
      </c>
      <c r="AI107" s="10"/>
      <c r="AJ107" s="7">
        <f t="shared" si="136"/>
        <v>0</v>
      </c>
      <c r="AK107" s="7">
        <f t="shared" si="137"/>
        <v>0</v>
      </c>
      <c r="AL107" s="7">
        <f t="shared" si="138"/>
        <v>0</v>
      </c>
      <c r="AN107" s="14">
        <v>21</v>
      </c>
      <c r="AO107" s="14">
        <f t="shared" si="139"/>
        <v>0</v>
      </c>
      <c r="AP107" s="14">
        <f t="shared" si="140"/>
        <v>0</v>
      </c>
      <c r="AQ107" s="15" t="s">
        <v>10</v>
      </c>
      <c r="AV107" s="14">
        <f t="shared" si="141"/>
        <v>0</v>
      </c>
      <c r="AW107" s="14">
        <f t="shared" si="142"/>
        <v>0</v>
      </c>
      <c r="AX107" s="14">
        <f t="shared" si="143"/>
        <v>0</v>
      </c>
      <c r="AY107" s="17" t="s">
        <v>327</v>
      </c>
      <c r="AZ107" s="17" t="s">
        <v>336</v>
      </c>
      <c r="BA107" s="10" t="s">
        <v>337</v>
      </c>
      <c r="BC107" s="14">
        <f t="shared" si="144"/>
        <v>0</v>
      </c>
      <c r="BD107" s="14">
        <f t="shared" si="145"/>
        <v>0</v>
      </c>
      <c r="BE107" s="14">
        <v>0</v>
      </c>
      <c r="BF107" s="14">
        <f t="shared" si="146"/>
        <v>0</v>
      </c>
      <c r="BH107" s="7">
        <f t="shared" si="147"/>
        <v>0</v>
      </c>
      <c r="BI107" s="7">
        <f t="shared" si="148"/>
        <v>0</v>
      </c>
      <c r="BJ107" s="7">
        <f t="shared" si="149"/>
        <v>0</v>
      </c>
      <c r="BK107" s="7" t="s">
        <v>342</v>
      </c>
      <c r="BL107" s="14" t="s">
        <v>158</v>
      </c>
    </row>
    <row r="108" spans="1:64" ht="12.75">
      <c r="A108" s="40" t="s">
        <v>84</v>
      </c>
      <c r="B108" s="40"/>
      <c r="C108" s="40" t="s">
        <v>164</v>
      </c>
      <c r="D108" s="53" t="s">
        <v>268</v>
      </c>
      <c r="E108" s="40" t="s">
        <v>277</v>
      </c>
      <c r="F108" s="60">
        <v>4.224</v>
      </c>
      <c r="G108" s="253"/>
      <c r="H108" s="41">
        <f t="shared" si="124"/>
        <v>0</v>
      </c>
      <c r="I108" s="41">
        <f t="shared" si="125"/>
        <v>0</v>
      </c>
      <c r="J108" s="41">
        <f t="shared" si="126"/>
        <v>0</v>
      </c>
      <c r="K108" s="41">
        <v>0</v>
      </c>
      <c r="L108" s="41">
        <f t="shared" si="127"/>
        <v>0</v>
      </c>
      <c r="M108" s="42"/>
      <c r="N108" s="35"/>
      <c r="Z108" s="14">
        <f t="shared" si="128"/>
        <v>0</v>
      </c>
      <c r="AB108" s="14">
        <f t="shared" si="129"/>
        <v>0</v>
      </c>
      <c r="AC108" s="14">
        <f t="shared" si="130"/>
        <v>0</v>
      </c>
      <c r="AD108" s="14">
        <f t="shared" si="131"/>
        <v>0</v>
      </c>
      <c r="AE108" s="14">
        <f t="shared" si="132"/>
        <v>0</v>
      </c>
      <c r="AF108" s="14">
        <f t="shared" si="133"/>
        <v>0</v>
      </c>
      <c r="AG108" s="14">
        <f t="shared" si="134"/>
        <v>0</v>
      </c>
      <c r="AH108" s="14">
        <f t="shared" si="135"/>
        <v>0</v>
      </c>
      <c r="AI108" s="10"/>
      <c r="AJ108" s="7">
        <f t="shared" si="136"/>
        <v>0</v>
      </c>
      <c r="AK108" s="7">
        <f t="shared" si="137"/>
        <v>0</v>
      </c>
      <c r="AL108" s="7">
        <f t="shared" si="138"/>
        <v>0</v>
      </c>
      <c r="AN108" s="14">
        <v>21</v>
      </c>
      <c r="AO108" s="14">
        <f t="shared" si="139"/>
        <v>0</v>
      </c>
      <c r="AP108" s="14">
        <f t="shared" si="140"/>
        <v>0</v>
      </c>
      <c r="AQ108" s="15" t="s">
        <v>10</v>
      </c>
      <c r="AV108" s="14">
        <f t="shared" si="141"/>
        <v>0</v>
      </c>
      <c r="AW108" s="14">
        <f t="shared" si="142"/>
        <v>0</v>
      </c>
      <c r="AX108" s="14">
        <f t="shared" si="143"/>
        <v>0</v>
      </c>
      <c r="AY108" s="17" t="s">
        <v>327</v>
      </c>
      <c r="AZ108" s="17" t="s">
        <v>336</v>
      </c>
      <c r="BA108" s="10" t="s">
        <v>337</v>
      </c>
      <c r="BC108" s="14">
        <f t="shared" si="144"/>
        <v>0</v>
      </c>
      <c r="BD108" s="14">
        <f t="shared" si="145"/>
        <v>0</v>
      </c>
      <c r="BE108" s="14">
        <v>0</v>
      </c>
      <c r="BF108" s="14">
        <f t="shared" si="146"/>
        <v>0</v>
      </c>
      <c r="BH108" s="7">
        <f t="shared" si="147"/>
        <v>0</v>
      </c>
      <c r="BI108" s="7">
        <f t="shared" si="148"/>
        <v>0</v>
      </c>
      <c r="BJ108" s="7">
        <f t="shared" si="149"/>
        <v>0</v>
      </c>
      <c r="BK108" s="7" t="s">
        <v>342</v>
      </c>
      <c r="BL108" s="14" t="s">
        <v>158</v>
      </c>
    </row>
    <row r="109" spans="1:64" ht="12.75">
      <c r="A109" s="40" t="s">
        <v>85</v>
      </c>
      <c r="B109" s="40"/>
      <c r="C109" s="40" t="s">
        <v>165</v>
      </c>
      <c r="D109" s="53" t="s">
        <v>269</v>
      </c>
      <c r="E109" s="40" t="s">
        <v>277</v>
      </c>
      <c r="F109" s="60">
        <v>0.088</v>
      </c>
      <c r="G109" s="253"/>
      <c r="H109" s="41">
        <f t="shared" si="124"/>
        <v>0</v>
      </c>
      <c r="I109" s="41">
        <f t="shared" si="125"/>
        <v>0</v>
      </c>
      <c r="J109" s="41">
        <f t="shared" si="126"/>
        <v>0</v>
      </c>
      <c r="K109" s="41">
        <v>0</v>
      </c>
      <c r="L109" s="41">
        <f t="shared" si="127"/>
        <v>0</v>
      </c>
      <c r="M109" s="42"/>
      <c r="N109" s="35"/>
      <c r="Z109" s="14">
        <f t="shared" si="128"/>
        <v>0</v>
      </c>
      <c r="AB109" s="14">
        <f t="shared" si="129"/>
        <v>0</v>
      </c>
      <c r="AC109" s="14">
        <f t="shared" si="130"/>
        <v>0</v>
      </c>
      <c r="AD109" s="14">
        <f t="shared" si="131"/>
        <v>0</v>
      </c>
      <c r="AE109" s="14">
        <f t="shared" si="132"/>
        <v>0</v>
      </c>
      <c r="AF109" s="14">
        <f t="shared" si="133"/>
        <v>0</v>
      </c>
      <c r="AG109" s="14">
        <f t="shared" si="134"/>
        <v>0</v>
      </c>
      <c r="AH109" s="14">
        <f t="shared" si="135"/>
        <v>0</v>
      </c>
      <c r="AI109" s="10"/>
      <c r="AJ109" s="7">
        <f t="shared" si="136"/>
        <v>0</v>
      </c>
      <c r="AK109" s="7">
        <f t="shared" si="137"/>
        <v>0</v>
      </c>
      <c r="AL109" s="7">
        <f t="shared" si="138"/>
        <v>0</v>
      </c>
      <c r="AN109" s="14">
        <v>21</v>
      </c>
      <c r="AO109" s="14">
        <f t="shared" si="139"/>
        <v>0</v>
      </c>
      <c r="AP109" s="14">
        <f t="shared" si="140"/>
        <v>0</v>
      </c>
      <c r="AQ109" s="15" t="s">
        <v>10</v>
      </c>
      <c r="AV109" s="14">
        <f t="shared" si="141"/>
        <v>0</v>
      </c>
      <c r="AW109" s="14">
        <f t="shared" si="142"/>
        <v>0</v>
      </c>
      <c r="AX109" s="14">
        <f t="shared" si="143"/>
        <v>0</v>
      </c>
      <c r="AY109" s="17" t="s">
        <v>327</v>
      </c>
      <c r="AZ109" s="17" t="s">
        <v>336</v>
      </c>
      <c r="BA109" s="10" t="s">
        <v>337</v>
      </c>
      <c r="BC109" s="14">
        <f t="shared" si="144"/>
        <v>0</v>
      </c>
      <c r="BD109" s="14">
        <f t="shared" si="145"/>
        <v>0</v>
      </c>
      <c r="BE109" s="14">
        <v>0</v>
      </c>
      <c r="BF109" s="14">
        <f t="shared" si="146"/>
        <v>0</v>
      </c>
      <c r="BH109" s="7">
        <f t="shared" si="147"/>
        <v>0</v>
      </c>
      <c r="BI109" s="7">
        <f t="shared" si="148"/>
        <v>0</v>
      </c>
      <c r="BJ109" s="7">
        <f t="shared" si="149"/>
        <v>0</v>
      </c>
      <c r="BK109" s="7" t="s">
        <v>342</v>
      </c>
      <c r="BL109" s="14" t="s">
        <v>158</v>
      </c>
    </row>
    <row r="110" spans="1:64" ht="12.75">
      <c r="A110" s="40" t="s">
        <v>86</v>
      </c>
      <c r="B110" s="40"/>
      <c r="C110" s="40" t="s">
        <v>166</v>
      </c>
      <c r="D110" s="53" t="s">
        <v>270</v>
      </c>
      <c r="E110" s="40" t="s">
        <v>277</v>
      </c>
      <c r="F110" s="60">
        <v>0.146</v>
      </c>
      <c r="G110" s="253"/>
      <c r="H110" s="41">
        <f t="shared" si="124"/>
        <v>0</v>
      </c>
      <c r="I110" s="41">
        <f t="shared" si="125"/>
        <v>0</v>
      </c>
      <c r="J110" s="41">
        <f t="shared" si="126"/>
        <v>0</v>
      </c>
      <c r="K110" s="41">
        <v>0</v>
      </c>
      <c r="L110" s="41">
        <f t="shared" si="127"/>
        <v>0</v>
      </c>
      <c r="M110" s="42"/>
      <c r="N110" s="35"/>
      <c r="Z110" s="14">
        <f t="shared" si="128"/>
        <v>0</v>
      </c>
      <c r="AB110" s="14">
        <f t="shared" si="129"/>
        <v>0</v>
      </c>
      <c r="AC110" s="14">
        <f t="shared" si="130"/>
        <v>0</v>
      </c>
      <c r="AD110" s="14">
        <f t="shared" si="131"/>
        <v>0</v>
      </c>
      <c r="AE110" s="14">
        <f t="shared" si="132"/>
        <v>0</v>
      </c>
      <c r="AF110" s="14">
        <f t="shared" si="133"/>
        <v>0</v>
      </c>
      <c r="AG110" s="14">
        <f t="shared" si="134"/>
        <v>0</v>
      </c>
      <c r="AH110" s="14">
        <f t="shared" si="135"/>
        <v>0</v>
      </c>
      <c r="AI110" s="10"/>
      <c r="AJ110" s="7">
        <f t="shared" si="136"/>
        <v>0</v>
      </c>
      <c r="AK110" s="7">
        <f t="shared" si="137"/>
        <v>0</v>
      </c>
      <c r="AL110" s="7">
        <f t="shared" si="138"/>
        <v>0</v>
      </c>
      <c r="AN110" s="14">
        <v>21</v>
      </c>
      <c r="AO110" s="14">
        <f t="shared" si="139"/>
        <v>0</v>
      </c>
      <c r="AP110" s="14">
        <f t="shared" si="140"/>
        <v>0</v>
      </c>
      <c r="AQ110" s="15" t="s">
        <v>10</v>
      </c>
      <c r="AV110" s="14">
        <f t="shared" si="141"/>
        <v>0</v>
      </c>
      <c r="AW110" s="14">
        <f t="shared" si="142"/>
        <v>0</v>
      </c>
      <c r="AX110" s="14">
        <f t="shared" si="143"/>
        <v>0</v>
      </c>
      <c r="AY110" s="17" t="s">
        <v>327</v>
      </c>
      <c r="AZ110" s="17" t="s">
        <v>336</v>
      </c>
      <c r="BA110" s="10" t="s">
        <v>337</v>
      </c>
      <c r="BC110" s="14">
        <f t="shared" si="144"/>
        <v>0</v>
      </c>
      <c r="BD110" s="14">
        <f t="shared" si="145"/>
        <v>0</v>
      </c>
      <c r="BE110" s="14">
        <v>0</v>
      </c>
      <c r="BF110" s="14">
        <f t="shared" si="146"/>
        <v>0</v>
      </c>
      <c r="BH110" s="7">
        <f t="shared" si="147"/>
        <v>0</v>
      </c>
      <c r="BI110" s="7">
        <f t="shared" si="148"/>
        <v>0</v>
      </c>
      <c r="BJ110" s="7">
        <f t="shared" si="149"/>
        <v>0</v>
      </c>
      <c r="BK110" s="7" t="s">
        <v>342</v>
      </c>
      <c r="BL110" s="14" t="s">
        <v>158</v>
      </c>
    </row>
    <row r="111" spans="1:13" ht="18" customHeight="1">
      <c r="A111" s="1"/>
      <c r="B111" s="1"/>
      <c r="C111" s="1"/>
      <c r="D111" s="57"/>
      <c r="E111" s="1"/>
      <c r="F111" s="1"/>
      <c r="G111" s="1"/>
      <c r="H111" s="159" t="s">
        <v>293</v>
      </c>
      <c r="I111" s="160"/>
      <c r="J111" s="62">
        <f>J12+J19+J28+J34+J37+J39+J49+J52+J61+J66+J70+J74+J76+J87+J89+J94+J96+J102</f>
        <v>0</v>
      </c>
      <c r="K111" s="1"/>
      <c r="L111" s="1"/>
      <c r="M111" s="1"/>
    </row>
    <row r="112" spans="1:13" ht="11.25" customHeight="1">
      <c r="A112" s="63" t="s">
        <v>87</v>
      </c>
      <c r="B112" s="64"/>
      <c r="C112" s="64"/>
      <c r="D112" s="65"/>
      <c r="E112" s="64"/>
      <c r="F112" s="64"/>
      <c r="G112" s="64"/>
      <c r="H112" s="64"/>
      <c r="I112" s="64"/>
      <c r="J112" s="64"/>
      <c r="K112" s="64"/>
      <c r="L112" s="64"/>
      <c r="M112" s="64"/>
    </row>
    <row r="113" spans="1:13" ht="12.75">
      <c r="A113" s="161" t="s">
        <v>583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</row>
  </sheetData>
  <sheetProtection password="D553" sheet="1"/>
  <mergeCells count="29">
    <mergeCell ref="H10:J10"/>
    <mergeCell ref="K10:L10"/>
    <mergeCell ref="H111:I111"/>
    <mergeCell ref="A113:M113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G20" sqref="G20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110.421875" style="58" customWidth="1"/>
    <col min="5" max="5" width="14.5742187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2.75" customHeight="1">
      <c r="A1" s="163" t="s">
        <v>345</v>
      </c>
      <c r="B1" s="164"/>
      <c r="C1" s="164"/>
      <c r="D1" s="164"/>
      <c r="E1" s="164"/>
      <c r="F1" s="164"/>
      <c r="G1" s="164"/>
      <c r="H1" s="164"/>
    </row>
    <row r="2" spans="1:9" ht="12.75">
      <c r="A2" s="165" t="s">
        <v>0</v>
      </c>
      <c r="B2" s="166"/>
      <c r="C2" s="169" t="str">
        <f>'Stavební rozpočet'!D2</f>
        <v>Oprava výběru pro ličky (nutrie) v části p.p.č.426/1, v areálu ZOO Děčín, k.ú. Podmokly</v>
      </c>
      <c r="D2" s="170"/>
      <c r="E2" s="172" t="s">
        <v>287</v>
      </c>
      <c r="F2" s="172" t="str">
        <f>'Stavební rozpočet'!I2</f>
        <v>ZOO Děčín - Pastýřská stěna, příspěvková organizac</v>
      </c>
      <c r="G2" s="166"/>
      <c r="H2" s="173"/>
      <c r="I2" s="12"/>
    </row>
    <row r="3" spans="1:9" ht="12.75">
      <c r="A3" s="167"/>
      <c r="B3" s="168"/>
      <c r="C3" s="171"/>
      <c r="D3" s="171"/>
      <c r="E3" s="168"/>
      <c r="F3" s="168"/>
      <c r="G3" s="168"/>
      <c r="H3" s="174"/>
      <c r="I3" s="12"/>
    </row>
    <row r="4" spans="1:9" ht="12.75">
      <c r="A4" s="175" t="s">
        <v>1</v>
      </c>
      <c r="B4" s="168"/>
      <c r="C4" s="176" t="str">
        <f>'Stavební rozpočet'!D4</f>
        <v>Oprava a údržba</v>
      </c>
      <c r="D4" s="168"/>
      <c r="E4" s="176" t="s">
        <v>288</v>
      </c>
      <c r="F4" s="176" t="str">
        <f>'Stavební rozpočet'!I4</f>
        <v>SORTKROJEKT Šárka Mancová</v>
      </c>
      <c r="G4" s="168"/>
      <c r="H4" s="174"/>
      <c r="I4" s="12"/>
    </row>
    <row r="5" spans="1:9" ht="12.75">
      <c r="A5" s="167"/>
      <c r="B5" s="168"/>
      <c r="C5" s="168"/>
      <c r="D5" s="168"/>
      <c r="E5" s="168"/>
      <c r="F5" s="168"/>
      <c r="G5" s="168"/>
      <c r="H5" s="174"/>
      <c r="I5" s="12"/>
    </row>
    <row r="6" spans="1:9" ht="12.75">
      <c r="A6" s="175" t="s">
        <v>2</v>
      </c>
      <c r="B6" s="168"/>
      <c r="C6" s="176" t="str">
        <f>'Stavební rozpočet'!D6</f>
        <v>p.p.č.426/1, k.ú. Podmokly</v>
      </c>
      <c r="D6" s="168"/>
      <c r="E6" s="176" t="s">
        <v>289</v>
      </c>
      <c r="F6" s="176" t="str">
        <f>'Stavební rozpočet'!I6</f>
        <v> </v>
      </c>
      <c r="G6" s="168"/>
      <c r="H6" s="174"/>
      <c r="I6" s="12"/>
    </row>
    <row r="7" spans="1:9" ht="12.75">
      <c r="A7" s="167"/>
      <c r="B7" s="168"/>
      <c r="C7" s="168"/>
      <c r="D7" s="168"/>
      <c r="E7" s="168"/>
      <c r="F7" s="168"/>
      <c r="G7" s="168"/>
      <c r="H7" s="174"/>
      <c r="I7" s="12"/>
    </row>
    <row r="8" spans="1:9" ht="12.75">
      <c r="A8" s="175" t="s">
        <v>290</v>
      </c>
      <c r="B8" s="168"/>
      <c r="C8" s="176" t="str">
        <f>'Stavební rozpočet'!I8</f>
        <v> </v>
      </c>
      <c r="D8" s="168"/>
      <c r="E8" s="176" t="s">
        <v>274</v>
      </c>
      <c r="F8" s="176" t="str">
        <f>'Stavební rozpočet'!G8</f>
        <v>27.09.2021</v>
      </c>
      <c r="G8" s="168"/>
      <c r="H8" s="174"/>
      <c r="I8" s="12"/>
    </row>
    <row r="9" spans="1:9" ht="12.75">
      <c r="A9" s="177"/>
      <c r="B9" s="178"/>
      <c r="C9" s="178"/>
      <c r="D9" s="178"/>
      <c r="E9" s="178"/>
      <c r="F9" s="178"/>
      <c r="G9" s="178"/>
      <c r="H9" s="179"/>
      <c r="I9" s="12"/>
    </row>
    <row r="10" spans="1:9" ht="12.75">
      <c r="A10" s="69" t="s">
        <v>4</v>
      </c>
      <c r="B10" s="70" t="s">
        <v>88</v>
      </c>
      <c r="C10" s="70" t="s">
        <v>89</v>
      </c>
      <c r="D10" s="180" t="s">
        <v>170</v>
      </c>
      <c r="E10" s="181"/>
      <c r="F10" s="70" t="s">
        <v>275</v>
      </c>
      <c r="G10" s="71" t="s">
        <v>283</v>
      </c>
      <c r="H10" s="72" t="s">
        <v>581</v>
      </c>
      <c r="I10" s="13"/>
    </row>
    <row r="11" spans="1:9" ht="12.75">
      <c r="A11" s="20"/>
      <c r="B11" s="3"/>
      <c r="C11" s="3" t="s">
        <v>18</v>
      </c>
      <c r="D11" s="182" t="s">
        <v>172</v>
      </c>
      <c r="E11" s="183"/>
      <c r="F11" s="3"/>
      <c r="G11" s="9"/>
      <c r="H11" s="11"/>
      <c r="I11" s="12"/>
    </row>
    <row r="12" spans="1:9" ht="12.75">
      <c r="A12" s="98" t="s">
        <v>6</v>
      </c>
      <c r="B12" s="4"/>
      <c r="C12" s="98" t="s">
        <v>90</v>
      </c>
      <c r="D12" s="184" t="s">
        <v>173</v>
      </c>
      <c r="E12" s="185"/>
      <c r="F12" s="4" t="s">
        <v>276</v>
      </c>
      <c r="G12" s="117">
        <v>44.75455</v>
      </c>
      <c r="H12" s="117"/>
      <c r="I12" s="35"/>
    </row>
    <row r="13" spans="1:9" ht="12" customHeight="1">
      <c r="A13" s="99"/>
      <c r="C13" s="114"/>
      <c r="D13" s="186" t="s">
        <v>346</v>
      </c>
      <c r="E13" s="187"/>
      <c r="F13" s="187"/>
      <c r="G13" s="118">
        <v>1.42695</v>
      </c>
      <c r="H13" s="99"/>
      <c r="I13" s="35"/>
    </row>
    <row r="14" spans="1:9" ht="12" customHeight="1">
      <c r="A14" s="100"/>
      <c r="B14" s="4"/>
      <c r="C14" s="100"/>
      <c r="D14" s="186" t="s">
        <v>347</v>
      </c>
      <c r="E14" s="187"/>
      <c r="F14" s="186"/>
      <c r="G14" s="118">
        <v>1.0419</v>
      </c>
      <c r="H14" s="133"/>
      <c r="I14" s="35"/>
    </row>
    <row r="15" spans="1:9" ht="12" customHeight="1">
      <c r="A15" s="100"/>
      <c r="B15" s="4"/>
      <c r="C15" s="100"/>
      <c r="D15" s="186" t="s">
        <v>348</v>
      </c>
      <c r="E15" s="187"/>
      <c r="F15" s="186"/>
      <c r="G15" s="118">
        <v>1.215</v>
      </c>
      <c r="H15" s="133"/>
      <c r="I15" s="35"/>
    </row>
    <row r="16" spans="1:9" ht="12" customHeight="1">
      <c r="A16" s="100"/>
      <c r="B16" s="4"/>
      <c r="C16" s="100"/>
      <c r="D16" s="186" t="s">
        <v>349</v>
      </c>
      <c r="E16" s="187"/>
      <c r="F16" s="186"/>
      <c r="G16" s="118">
        <v>1.62</v>
      </c>
      <c r="H16" s="133"/>
      <c r="I16" s="35"/>
    </row>
    <row r="17" spans="1:9" ht="12" customHeight="1">
      <c r="A17" s="100"/>
      <c r="B17" s="4"/>
      <c r="C17" s="100"/>
      <c r="D17" s="186" t="s">
        <v>350</v>
      </c>
      <c r="E17" s="187"/>
      <c r="F17" s="186"/>
      <c r="G17" s="118">
        <v>1.665</v>
      </c>
      <c r="H17" s="133"/>
      <c r="I17" s="35"/>
    </row>
    <row r="18" spans="1:9" ht="12" customHeight="1">
      <c r="A18" s="100"/>
      <c r="B18" s="4"/>
      <c r="C18" s="100"/>
      <c r="D18" s="186" t="s">
        <v>351</v>
      </c>
      <c r="E18" s="187"/>
      <c r="F18" s="186"/>
      <c r="G18" s="118">
        <v>1.74</v>
      </c>
      <c r="H18" s="133"/>
      <c r="I18" s="35"/>
    </row>
    <row r="19" spans="1:9" ht="12" customHeight="1">
      <c r="A19" s="100"/>
      <c r="B19" s="4"/>
      <c r="C19" s="100"/>
      <c r="D19" s="186" t="s">
        <v>352</v>
      </c>
      <c r="E19" s="187"/>
      <c r="F19" s="186"/>
      <c r="G19" s="118">
        <v>1.26</v>
      </c>
      <c r="H19" s="133"/>
      <c r="I19" s="35"/>
    </row>
    <row r="20" spans="1:9" ht="12" customHeight="1">
      <c r="A20" s="100"/>
      <c r="B20" s="4"/>
      <c r="C20" s="100"/>
      <c r="D20" s="186" t="s">
        <v>353</v>
      </c>
      <c r="E20" s="187"/>
      <c r="F20" s="186"/>
      <c r="G20" s="118">
        <v>1.8</v>
      </c>
      <c r="H20" s="133"/>
      <c r="I20" s="35"/>
    </row>
    <row r="21" spans="1:9" ht="12" customHeight="1">
      <c r="A21" s="100"/>
      <c r="B21" s="4"/>
      <c r="C21" s="100"/>
      <c r="D21" s="186" t="s">
        <v>354</v>
      </c>
      <c r="E21" s="187"/>
      <c r="F21" s="186"/>
      <c r="G21" s="118">
        <v>0.72</v>
      </c>
      <c r="H21" s="133"/>
      <c r="I21" s="35"/>
    </row>
    <row r="22" spans="1:9" ht="12" customHeight="1">
      <c r="A22" s="100"/>
      <c r="B22" s="4"/>
      <c r="C22" s="100"/>
      <c r="D22" s="186" t="s">
        <v>355</v>
      </c>
      <c r="E22" s="187"/>
      <c r="F22" s="186"/>
      <c r="G22" s="118">
        <v>0.9</v>
      </c>
      <c r="H22" s="133"/>
      <c r="I22" s="35"/>
    </row>
    <row r="23" spans="1:9" ht="12" customHeight="1">
      <c r="A23" s="100"/>
      <c r="B23" s="4"/>
      <c r="C23" s="100"/>
      <c r="D23" s="186" t="s">
        <v>356</v>
      </c>
      <c r="E23" s="187"/>
      <c r="F23" s="186"/>
      <c r="G23" s="118">
        <v>1.3725</v>
      </c>
      <c r="H23" s="133"/>
      <c r="I23" s="35"/>
    </row>
    <row r="24" spans="1:9" ht="12" customHeight="1">
      <c r="A24" s="100"/>
      <c r="B24" s="4"/>
      <c r="C24" s="100"/>
      <c r="D24" s="186" t="s">
        <v>357</v>
      </c>
      <c r="E24" s="187"/>
      <c r="F24" s="186"/>
      <c r="G24" s="118">
        <v>0.96</v>
      </c>
      <c r="H24" s="133"/>
      <c r="I24" s="35"/>
    </row>
    <row r="25" spans="1:9" ht="12" customHeight="1">
      <c r="A25" s="100"/>
      <c r="B25" s="4"/>
      <c r="C25" s="100"/>
      <c r="D25" s="186" t="s">
        <v>357</v>
      </c>
      <c r="E25" s="187"/>
      <c r="F25" s="186"/>
      <c r="G25" s="118">
        <v>0.96</v>
      </c>
      <c r="H25" s="133"/>
      <c r="I25" s="35"/>
    </row>
    <row r="26" spans="1:9" ht="12" customHeight="1">
      <c r="A26" s="100"/>
      <c r="B26" s="4"/>
      <c r="C26" s="100"/>
      <c r="D26" s="186" t="s">
        <v>358</v>
      </c>
      <c r="E26" s="187"/>
      <c r="F26" s="186"/>
      <c r="G26" s="118">
        <v>0.81</v>
      </c>
      <c r="H26" s="133"/>
      <c r="I26" s="35"/>
    </row>
    <row r="27" spans="1:9" ht="12" customHeight="1">
      <c r="A27" s="100"/>
      <c r="B27" s="4"/>
      <c r="C27" s="100"/>
      <c r="D27" s="186" t="s">
        <v>359</v>
      </c>
      <c r="E27" s="187"/>
      <c r="F27" s="186"/>
      <c r="G27" s="118">
        <v>0</v>
      </c>
      <c r="H27" s="133"/>
      <c r="I27" s="35"/>
    </row>
    <row r="28" spans="1:9" ht="12" customHeight="1">
      <c r="A28" s="100"/>
      <c r="B28" s="4"/>
      <c r="C28" s="100"/>
      <c r="D28" s="186" t="s">
        <v>360</v>
      </c>
      <c r="E28" s="187"/>
      <c r="F28" s="186"/>
      <c r="G28" s="118">
        <v>0.63</v>
      </c>
      <c r="H28" s="133"/>
      <c r="I28" s="35"/>
    </row>
    <row r="29" spans="1:9" ht="12" customHeight="1">
      <c r="A29" s="100"/>
      <c r="B29" s="4"/>
      <c r="C29" s="100"/>
      <c r="D29" s="186" t="s">
        <v>361</v>
      </c>
      <c r="E29" s="187"/>
      <c r="F29" s="186"/>
      <c r="G29" s="118">
        <v>9.6</v>
      </c>
      <c r="H29" s="133"/>
      <c r="I29" s="35"/>
    </row>
    <row r="30" spans="1:9" ht="12" customHeight="1">
      <c r="A30" s="100"/>
      <c r="B30" s="4"/>
      <c r="C30" s="100"/>
      <c r="D30" s="186" t="s">
        <v>362</v>
      </c>
      <c r="E30" s="187"/>
      <c r="F30" s="186"/>
      <c r="G30" s="118">
        <v>3.726</v>
      </c>
      <c r="H30" s="133"/>
      <c r="I30" s="35"/>
    </row>
    <row r="31" spans="1:9" ht="12" customHeight="1">
      <c r="A31" s="100"/>
      <c r="B31" s="4"/>
      <c r="C31" s="100"/>
      <c r="D31" s="186" t="s">
        <v>363</v>
      </c>
      <c r="E31" s="187"/>
      <c r="F31" s="186"/>
      <c r="G31" s="118">
        <v>0.81</v>
      </c>
      <c r="H31" s="133"/>
      <c r="I31" s="35"/>
    </row>
    <row r="32" spans="1:9" ht="12" customHeight="1">
      <c r="A32" s="100"/>
      <c r="B32" s="4"/>
      <c r="C32" s="100"/>
      <c r="D32" s="186" t="s">
        <v>364</v>
      </c>
      <c r="E32" s="187"/>
      <c r="F32" s="186"/>
      <c r="G32" s="118">
        <v>0.735</v>
      </c>
      <c r="H32" s="133"/>
      <c r="I32" s="35"/>
    </row>
    <row r="33" spans="1:9" ht="12" customHeight="1">
      <c r="A33" s="100"/>
      <c r="B33" s="4"/>
      <c r="C33" s="100"/>
      <c r="D33" s="186" t="s">
        <v>365</v>
      </c>
      <c r="E33" s="187"/>
      <c r="F33" s="186"/>
      <c r="G33" s="118">
        <v>0.795</v>
      </c>
      <c r="H33" s="133"/>
      <c r="I33" s="35"/>
    </row>
    <row r="34" spans="1:9" ht="12" customHeight="1">
      <c r="A34" s="100"/>
      <c r="B34" s="4"/>
      <c r="C34" s="100"/>
      <c r="D34" s="186" t="s">
        <v>366</v>
      </c>
      <c r="E34" s="187"/>
      <c r="F34" s="186"/>
      <c r="G34" s="118">
        <v>0.69</v>
      </c>
      <c r="H34" s="133"/>
      <c r="I34" s="35"/>
    </row>
    <row r="35" spans="1:9" ht="12" customHeight="1">
      <c r="A35" s="100"/>
      <c r="B35" s="4"/>
      <c r="C35" s="100"/>
      <c r="D35" s="186" t="s">
        <v>367</v>
      </c>
      <c r="E35" s="187"/>
      <c r="F35" s="186"/>
      <c r="G35" s="118">
        <v>0.75</v>
      </c>
      <c r="H35" s="133"/>
      <c r="I35" s="35"/>
    </row>
    <row r="36" spans="1:9" ht="12" customHeight="1">
      <c r="A36" s="100"/>
      <c r="B36" s="4"/>
      <c r="C36" s="100"/>
      <c r="D36" s="186" t="s">
        <v>368</v>
      </c>
      <c r="E36" s="187"/>
      <c r="F36" s="186"/>
      <c r="G36" s="118">
        <v>0.8712</v>
      </c>
      <c r="H36" s="133"/>
      <c r="I36" s="35"/>
    </row>
    <row r="37" spans="1:9" ht="12" customHeight="1">
      <c r="A37" s="100"/>
      <c r="B37" s="4"/>
      <c r="C37" s="100"/>
      <c r="D37" s="186" t="s">
        <v>359</v>
      </c>
      <c r="E37" s="187"/>
      <c r="F37" s="186"/>
      <c r="G37" s="118">
        <v>0</v>
      </c>
      <c r="H37" s="133"/>
      <c r="I37" s="35"/>
    </row>
    <row r="38" spans="1:9" ht="12" customHeight="1">
      <c r="A38" s="100"/>
      <c r="B38" s="4"/>
      <c r="C38" s="100"/>
      <c r="D38" s="186" t="s">
        <v>369</v>
      </c>
      <c r="E38" s="187"/>
      <c r="F38" s="186"/>
      <c r="G38" s="118">
        <v>8.656</v>
      </c>
      <c r="H38" s="133"/>
      <c r="I38" s="35"/>
    </row>
    <row r="39" spans="1:9" ht="12.75">
      <c r="A39" s="40" t="s">
        <v>7</v>
      </c>
      <c r="B39" s="76"/>
      <c r="C39" s="40" t="s">
        <v>91</v>
      </c>
      <c r="D39" s="188" t="s">
        <v>174</v>
      </c>
      <c r="E39" s="189"/>
      <c r="F39" s="75" t="s">
        <v>276</v>
      </c>
      <c r="G39" s="41">
        <v>44.90262</v>
      </c>
      <c r="H39" s="41"/>
      <c r="I39" s="35"/>
    </row>
    <row r="40" spans="1:9" ht="12.75">
      <c r="A40" s="100" t="s">
        <v>8</v>
      </c>
      <c r="B40" s="4"/>
      <c r="C40" s="100" t="s">
        <v>92</v>
      </c>
      <c r="D40" s="184" t="s">
        <v>175</v>
      </c>
      <c r="E40" s="185"/>
      <c r="F40" s="4" t="s">
        <v>276</v>
      </c>
      <c r="G40" s="119">
        <v>18.28915</v>
      </c>
      <c r="H40" s="119"/>
      <c r="I40" s="35"/>
    </row>
    <row r="41" spans="1:9" ht="12" customHeight="1">
      <c r="A41" s="99"/>
      <c r="C41" s="114"/>
      <c r="D41" s="186" t="s">
        <v>370</v>
      </c>
      <c r="E41" s="187"/>
      <c r="F41" s="187"/>
      <c r="G41" s="118">
        <v>1.0395</v>
      </c>
      <c r="H41" s="99"/>
      <c r="I41" s="35"/>
    </row>
    <row r="42" spans="1:9" ht="12" customHeight="1">
      <c r="A42" s="100"/>
      <c r="B42" s="4"/>
      <c r="C42" s="100"/>
      <c r="D42" s="186" t="s">
        <v>371</v>
      </c>
      <c r="E42" s="187"/>
      <c r="F42" s="186"/>
      <c r="G42" s="118">
        <v>3.3</v>
      </c>
      <c r="H42" s="133"/>
      <c r="I42" s="35"/>
    </row>
    <row r="43" spans="1:9" ht="12" customHeight="1">
      <c r="A43" s="100"/>
      <c r="B43" s="4"/>
      <c r="C43" s="100"/>
      <c r="D43" s="186" t="s">
        <v>372</v>
      </c>
      <c r="E43" s="187"/>
      <c r="F43" s="186"/>
      <c r="G43" s="118">
        <v>0.88</v>
      </c>
      <c r="H43" s="133"/>
      <c r="I43" s="35"/>
    </row>
    <row r="44" spans="1:9" ht="12" customHeight="1">
      <c r="A44" s="100"/>
      <c r="B44" s="4"/>
      <c r="C44" s="100"/>
      <c r="D44" s="186" t="s">
        <v>373</v>
      </c>
      <c r="E44" s="187"/>
      <c r="F44" s="186"/>
      <c r="G44" s="118">
        <v>2.2</v>
      </c>
      <c r="H44" s="133"/>
      <c r="I44" s="35"/>
    </row>
    <row r="45" spans="1:9" ht="12" customHeight="1">
      <c r="A45" s="100"/>
      <c r="B45" s="4"/>
      <c r="C45" s="100"/>
      <c r="D45" s="186" t="s">
        <v>374</v>
      </c>
      <c r="E45" s="187"/>
      <c r="F45" s="186"/>
      <c r="G45" s="118">
        <v>1.27215</v>
      </c>
      <c r="H45" s="133"/>
      <c r="I45" s="35"/>
    </row>
    <row r="46" spans="1:9" ht="12" customHeight="1">
      <c r="A46" s="100"/>
      <c r="B46" s="4"/>
      <c r="C46" s="100"/>
      <c r="D46" s="186" t="s">
        <v>375</v>
      </c>
      <c r="E46" s="187"/>
      <c r="F46" s="186"/>
      <c r="G46" s="118">
        <v>3.74</v>
      </c>
      <c r="H46" s="133"/>
      <c r="I46" s="35"/>
    </row>
    <row r="47" spans="1:9" ht="12" customHeight="1">
      <c r="A47" s="100"/>
      <c r="B47" s="4"/>
      <c r="C47" s="100"/>
      <c r="D47" s="186" t="s">
        <v>375</v>
      </c>
      <c r="E47" s="187"/>
      <c r="F47" s="186"/>
      <c r="G47" s="118">
        <v>3.74</v>
      </c>
      <c r="H47" s="133"/>
      <c r="I47" s="35"/>
    </row>
    <row r="48" spans="1:9" ht="12" customHeight="1">
      <c r="A48" s="100"/>
      <c r="B48" s="4"/>
      <c r="C48" s="100"/>
      <c r="D48" s="186" t="s">
        <v>376</v>
      </c>
      <c r="E48" s="187"/>
      <c r="F48" s="186"/>
      <c r="G48" s="118">
        <v>2.1175</v>
      </c>
      <c r="H48" s="133"/>
      <c r="I48" s="35"/>
    </row>
    <row r="49" spans="1:9" ht="12.75">
      <c r="A49" s="98" t="s">
        <v>9</v>
      </c>
      <c r="B49" s="73"/>
      <c r="C49" s="98" t="s">
        <v>93</v>
      </c>
      <c r="D49" s="190" t="s">
        <v>176</v>
      </c>
      <c r="E49" s="191"/>
      <c r="F49" s="73" t="s">
        <v>276</v>
      </c>
      <c r="G49" s="117">
        <v>9.14458</v>
      </c>
      <c r="H49" s="117"/>
      <c r="I49" s="35"/>
    </row>
    <row r="50" spans="1:9" ht="12" customHeight="1">
      <c r="A50" s="101"/>
      <c r="B50" s="74"/>
      <c r="C50" s="115"/>
      <c r="D50" s="192" t="s">
        <v>377</v>
      </c>
      <c r="E50" s="193"/>
      <c r="F50" s="193"/>
      <c r="G50" s="120">
        <v>9.14458</v>
      </c>
      <c r="H50" s="101"/>
      <c r="I50" s="35"/>
    </row>
    <row r="51" spans="1:9" ht="12.75">
      <c r="A51" s="100" t="s">
        <v>10</v>
      </c>
      <c r="B51" s="4"/>
      <c r="C51" s="100" t="s">
        <v>92</v>
      </c>
      <c r="D51" s="184" t="s">
        <v>177</v>
      </c>
      <c r="E51" s="185"/>
      <c r="F51" s="4" t="s">
        <v>276</v>
      </c>
      <c r="G51" s="119">
        <v>3.48</v>
      </c>
      <c r="H51" s="119"/>
      <c r="I51" s="35"/>
    </row>
    <row r="52" spans="1:9" ht="12" customHeight="1">
      <c r="A52" s="99"/>
      <c r="C52" s="114"/>
      <c r="D52" s="186" t="s">
        <v>378</v>
      </c>
      <c r="E52" s="187"/>
      <c r="F52" s="187"/>
      <c r="G52" s="118">
        <v>3.48</v>
      </c>
      <c r="H52" s="99"/>
      <c r="I52" s="35"/>
    </row>
    <row r="53" spans="1:9" ht="12.75">
      <c r="A53" s="98" t="s">
        <v>11</v>
      </c>
      <c r="B53" s="73"/>
      <c r="C53" s="98" t="s">
        <v>92</v>
      </c>
      <c r="D53" s="190" t="s">
        <v>178</v>
      </c>
      <c r="E53" s="191"/>
      <c r="F53" s="73" t="s">
        <v>276</v>
      </c>
      <c r="G53" s="117">
        <v>0.768</v>
      </c>
      <c r="H53" s="117"/>
      <c r="I53" s="35"/>
    </row>
    <row r="54" spans="1:9" ht="12" customHeight="1">
      <c r="A54" s="101"/>
      <c r="B54" s="74"/>
      <c r="C54" s="115"/>
      <c r="D54" s="192" t="s">
        <v>379</v>
      </c>
      <c r="E54" s="193"/>
      <c r="F54" s="193"/>
      <c r="G54" s="120">
        <v>0.768</v>
      </c>
      <c r="H54" s="101"/>
      <c r="I54" s="35"/>
    </row>
    <row r="55" spans="1:9" ht="12.75">
      <c r="A55" s="102"/>
      <c r="B55" s="5"/>
      <c r="C55" s="102" t="s">
        <v>21</v>
      </c>
      <c r="D55" s="194" t="s">
        <v>179</v>
      </c>
      <c r="E55" s="195"/>
      <c r="F55" s="5"/>
      <c r="G55" s="121"/>
      <c r="H55" s="121"/>
      <c r="I55" s="35"/>
    </row>
    <row r="56" spans="1:9" ht="12.75">
      <c r="A56" s="40" t="s">
        <v>12</v>
      </c>
      <c r="B56" s="76"/>
      <c r="C56" s="40" t="s">
        <v>94</v>
      </c>
      <c r="D56" s="196" t="s">
        <v>180</v>
      </c>
      <c r="E56" s="197"/>
      <c r="F56" s="76" t="s">
        <v>276</v>
      </c>
      <c r="G56" s="41">
        <v>44.75455</v>
      </c>
      <c r="H56" s="41"/>
      <c r="I56" s="35"/>
    </row>
    <row r="57" spans="1:9" ht="12.75">
      <c r="A57" s="100" t="s">
        <v>13</v>
      </c>
      <c r="B57" s="4"/>
      <c r="C57" s="100" t="s">
        <v>95</v>
      </c>
      <c r="D57" s="184" t="s">
        <v>181</v>
      </c>
      <c r="E57" s="185"/>
      <c r="F57" s="4" t="s">
        <v>276</v>
      </c>
      <c r="G57" s="119">
        <v>179.0182</v>
      </c>
      <c r="H57" s="119"/>
      <c r="I57" s="35"/>
    </row>
    <row r="58" spans="1:9" ht="12" customHeight="1">
      <c r="A58" s="99"/>
      <c r="C58" s="114"/>
      <c r="D58" s="186" t="s">
        <v>380</v>
      </c>
      <c r="E58" s="187"/>
      <c r="F58" s="187"/>
      <c r="G58" s="118">
        <v>179.0182</v>
      </c>
      <c r="H58" s="99"/>
      <c r="I58" s="35"/>
    </row>
    <row r="59" spans="1:9" ht="12.75">
      <c r="A59" s="98" t="s">
        <v>14</v>
      </c>
      <c r="B59" s="73"/>
      <c r="C59" s="98" t="s">
        <v>96</v>
      </c>
      <c r="D59" s="190" t="s">
        <v>182</v>
      </c>
      <c r="E59" s="191"/>
      <c r="F59" s="73" t="s">
        <v>276</v>
      </c>
      <c r="G59" s="117">
        <v>22.53715</v>
      </c>
      <c r="H59" s="117"/>
      <c r="I59" s="35"/>
    </row>
    <row r="60" spans="1:9" ht="12" customHeight="1">
      <c r="A60" s="101"/>
      <c r="B60" s="74"/>
      <c r="C60" s="115"/>
      <c r="D60" s="192" t="s">
        <v>381</v>
      </c>
      <c r="E60" s="193"/>
      <c r="F60" s="193"/>
      <c r="G60" s="120">
        <v>22.53715</v>
      </c>
      <c r="H60" s="101"/>
      <c r="I60" s="35"/>
    </row>
    <row r="61" spans="1:9" ht="12.75">
      <c r="A61" s="100" t="s">
        <v>15</v>
      </c>
      <c r="B61" s="4"/>
      <c r="C61" s="100" t="s">
        <v>97</v>
      </c>
      <c r="D61" s="184" t="s">
        <v>183</v>
      </c>
      <c r="E61" s="185"/>
      <c r="F61" s="4" t="s">
        <v>276</v>
      </c>
      <c r="G61" s="119">
        <v>22.53715</v>
      </c>
      <c r="H61" s="119"/>
      <c r="I61" s="35"/>
    </row>
    <row r="62" spans="1:9" ht="12" customHeight="1">
      <c r="A62" s="99"/>
      <c r="C62" s="114"/>
      <c r="D62" s="186" t="s">
        <v>382</v>
      </c>
      <c r="E62" s="187"/>
      <c r="F62" s="187"/>
      <c r="G62" s="118">
        <v>22.53715</v>
      </c>
      <c r="H62" s="99"/>
      <c r="I62" s="35"/>
    </row>
    <row r="63" spans="1:9" ht="12.75">
      <c r="A63" s="103" t="s">
        <v>16</v>
      </c>
      <c r="B63" s="89"/>
      <c r="C63" s="103" t="s">
        <v>98</v>
      </c>
      <c r="D63" s="198" t="s">
        <v>184</v>
      </c>
      <c r="E63" s="199"/>
      <c r="F63" s="78" t="s">
        <v>276</v>
      </c>
      <c r="G63" s="122">
        <v>49.20531</v>
      </c>
      <c r="H63" s="122"/>
      <c r="I63" s="35"/>
    </row>
    <row r="64" spans="1:9" ht="12" customHeight="1">
      <c r="A64" s="99"/>
      <c r="B64" s="79"/>
      <c r="C64" s="114"/>
      <c r="D64" s="186" t="s">
        <v>383</v>
      </c>
      <c r="E64" s="187"/>
      <c r="F64" s="187"/>
      <c r="G64" s="118">
        <v>67.2917</v>
      </c>
      <c r="H64" s="99"/>
      <c r="I64" s="35"/>
    </row>
    <row r="65" spans="1:9" ht="12" customHeight="1">
      <c r="A65" s="104"/>
      <c r="B65" s="90"/>
      <c r="C65" s="104"/>
      <c r="D65" s="200" t="s">
        <v>384</v>
      </c>
      <c r="E65" s="201"/>
      <c r="F65" s="202"/>
      <c r="G65" s="123">
        <v>-0.6744</v>
      </c>
      <c r="H65" s="134"/>
      <c r="I65" s="35"/>
    </row>
    <row r="66" spans="1:9" ht="12" customHeight="1">
      <c r="A66" s="104"/>
      <c r="B66" s="90"/>
      <c r="C66" s="104"/>
      <c r="D66" s="200" t="s">
        <v>385</v>
      </c>
      <c r="E66" s="201"/>
      <c r="F66" s="202"/>
      <c r="G66" s="123">
        <v>-12.61199</v>
      </c>
      <c r="H66" s="134"/>
      <c r="I66" s="35"/>
    </row>
    <row r="67" spans="1:9" ht="12" customHeight="1">
      <c r="A67" s="105"/>
      <c r="B67" s="91"/>
      <c r="C67" s="105"/>
      <c r="D67" s="203" t="s">
        <v>386</v>
      </c>
      <c r="E67" s="204"/>
      <c r="F67" s="205"/>
      <c r="G67" s="124">
        <v>-4.8</v>
      </c>
      <c r="H67" s="135"/>
      <c r="I67" s="35"/>
    </row>
    <row r="68" spans="1:9" ht="12.75">
      <c r="A68" s="106" t="s">
        <v>17</v>
      </c>
      <c r="B68" s="92"/>
      <c r="C68" s="106" t="s">
        <v>99</v>
      </c>
      <c r="D68" s="206" t="s">
        <v>185</v>
      </c>
      <c r="E68" s="207"/>
      <c r="F68" s="77" t="s">
        <v>276</v>
      </c>
      <c r="G68" s="125">
        <v>49.20531</v>
      </c>
      <c r="H68" s="125"/>
      <c r="I68" s="35"/>
    </row>
    <row r="69" spans="1:9" ht="12.75">
      <c r="A69" s="103" t="s">
        <v>18</v>
      </c>
      <c r="B69" s="89"/>
      <c r="C69" s="103" t="s">
        <v>100</v>
      </c>
      <c r="D69" s="198" t="s">
        <v>186</v>
      </c>
      <c r="E69" s="199"/>
      <c r="F69" s="78" t="s">
        <v>276</v>
      </c>
      <c r="G69" s="122">
        <v>492.0531</v>
      </c>
      <c r="H69" s="122"/>
      <c r="I69" s="35"/>
    </row>
    <row r="70" spans="1:9" ht="12" customHeight="1">
      <c r="A70" s="101"/>
      <c r="B70" s="74"/>
      <c r="C70" s="115"/>
      <c r="D70" s="192" t="s">
        <v>387</v>
      </c>
      <c r="E70" s="193"/>
      <c r="F70" s="193"/>
      <c r="G70" s="120">
        <v>492.0531</v>
      </c>
      <c r="H70" s="101"/>
      <c r="I70" s="35"/>
    </row>
    <row r="71" spans="1:9" ht="12.75">
      <c r="A71" s="106" t="s">
        <v>19</v>
      </c>
      <c r="B71" s="92"/>
      <c r="C71" s="106" t="s">
        <v>101</v>
      </c>
      <c r="D71" s="206" t="s">
        <v>187</v>
      </c>
      <c r="E71" s="207"/>
      <c r="F71" s="77" t="s">
        <v>276</v>
      </c>
      <c r="G71" s="125">
        <v>49.20531</v>
      </c>
      <c r="H71" s="125"/>
      <c r="I71" s="35"/>
    </row>
    <row r="72" spans="1:9" ht="12.75">
      <c r="A72" s="37"/>
      <c r="B72" s="82"/>
      <c r="C72" s="37" t="s">
        <v>22</v>
      </c>
      <c r="D72" s="208" t="s">
        <v>188</v>
      </c>
      <c r="E72" s="209"/>
      <c r="F72" s="82"/>
      <c r="G72" s="39"/>
      <c r="H72" s="39"/>
      <c r="I72" s="35"/>
    </row>
    <row r="73" spans="1:9" ht="12.75">
      <c r="A73" s="100" t="s">
        <v>20</v>
      </c>
      <c r="B73" s="4"/>
      <c r="C73" s="100" t="s">
        <v>102</v>
      </c>
      <c r="D73" s="184" t="s">
        <v>189</v>
      </c>
      <c r="E73" s="185"/>
      <c r="F73" s="4" t="s">
        <v>276</v>
      </c>
      <c r="G73" s="119">
        <v>10.55553</v>
      </c>
      <c r="H73" s="119"/>
      <c r="I73" s="35"/>
    </row>
    <row r="74" spans="1:9" ht="12" customHeight="1">
      <c r="A74" s="99"/>
      <c r="C74" s="114"/>
      <c r="D74" s="186" t="s">
        <v>388</v>
      </c>
      <c r="E74" s="187"/>
      <c r="F74" s="187"/>
      <c r="G74" s="118">
        <v>0.5775</v>
      </c>
      <c r="H74" s="99"/>
      <c r="I74" s="35"/>
    </row>
    <row r="75" spans="1:9" ht="12" customHeight="1">
      <c r="A75" s="100"/>
      <c r="B75" s="4"/>
      <c r="C75" s="100"/>
      <c r="D75" s="186" t="s">
        <v>389</v>
      </c>
      <c r="E75" s="187"/>
      <c r="F75" s="186"/>
      <c r="G75" s="118">
        <v>1.8</v>
      </c>
      <c r="H75" s="133"/>
      <c r="I75" s="35"/>
    </row>
    <row r="76" spans="1:9" ht="12" customHeight="1">
      <c r="A76" s="100"/>
      <c r="B76" s="4"/>
      <c r="C76" s="100"/>
      <c r="D76" s="186" t="s">
        <v>390</v>
      </c>
      <c r="E76" s="187"/>
      <c r="F76" s="186"/>
      <c r="G76" s="118">
        <v>0.46</v>
      </c>
      <c r="H76" s="133"/>
      <c r="I76" s="35"/>
    </row>
    <row r="77" spans="1:9" ht="12" customHeight="1">
      <c r="A77" s="100"/>
      <c r="B77" s="4"/>
      <c r="C77" s="100"/>
      <c r="D77" s="186" t="s">
        <v>391</v>
      </c>
      <c r="E77" s="187"/>
      <c r="F77" s="186"/>
      <c r="G77" s="118">
        <v>1.15</v>
      </c>
      <c r="H77" s="133"/>
      <c r="I77" s="35"/>
    </row>
    <row r="78" spans="1:9" ht="12" customHeight="1">
      <c r="A78" s="100"/>
      <c r="B78" s="4"/>
      <c r="C78" s="100"/>
      <c r="D78" s="186" t="s">
        <v>392</v>
      </c>
      <c r="E78" s="187"/>
      <c r="F78" s="186"/>
      <c r="G78" s="118">
        <v>0.70675</v>
      </c>
      <c r="H78" s="133"/>
      <c r="I78" s="35"/>
    </row>
    <row r="79" spans="1:9" ht="12" customHeight="1">
      <c r="A79" s="100"/>
      <c r="B79" s="4"/>
      <c r="C79" s="100"/>
      <c r="D79" s="186" t="s">
        <v>393</v>
      </c>
      <c r="E79" s="187"/>
      <c r="F79" s="186"/>
      <c r="G79" s="118">
        <v>2.04</v>
      </c>
      <c r="H79" s="133"/>
      <c r="I79" s="35"/>
    </row>
    <row r="80" spans="1:9" ht="12" customHeight="1">
      <c r="A80" s="100"/>
      <c r="B80" s="4"/>
      <c r="C80" s="100"/>
      <c r="D80" s="186" t="s">
        <v>393</v>
      </c>
      <c r="E80" s="187"/>
      <c r="F80" s="186"/>
      <c r="G80" s="118">
        <v>2.04</v>
      </c>
      <c r="H80" s="133"/>
      <c r="I80" s="35"/>
    </row>
    <row r="81" spans="1:9" ht="12" customHeight="1">
      <c r="A81" s="100"/>
      <c r="B81" s="4"/>
      <c r="C81" s="100"/>
      <c r="D81" s="186" t="s">
        <v>394</v>
      </c>
      <c r="E81" s="187"/>
      <c r="F81" s="186"/>
      <c r="G81" s="118">
        <v>1.10688</v>
      </c>
      <c r="H81" s="133"/>
      <c r="I81" s="35"/>
    </row>
    <row r="82" spans="1:9" ht="12" customHeight="1">
      <c r="A82" s="100"/>
      <c r="B82" s="4"/>
      <c r="C82" s="100"/>
      <c r="D82" s="186" t="s">
        <v>359</v>
      </c>
      <c r="E82" s="187"/>
      <c r="F82" s="186"/>
      <c r="G82" s="118">
        <v>0</v>
      </c>
      <c r="H82" s="133"/>
      <c r="I82" s="35"/>
    </row>
    <row r="83" spans="1:9" ht="12" customHeight="1">
      <c r="A83" s="100"/>
      <c r="B83" s="4"/>
      <c r="C83" s="100"/>
      <c r="D83" s="186" t="s">
        <v>395</v>
      </c>
      <c r="E83" s="187"/>
      <c r="F83" s="186"/>
      <c r="G83" s="118">
        <v>0.6744</v>
      </c>
      <c r="H83" s="133"/>
      <c r="I83" s="35"/>
    </row>
    <row r="84" spans="1:9" ht="12.75">
      <c r="A84" s="107" t="s">
        <v>21</v>
      </c>
      <c r="B84" s="83"/>
      <c r="C84" s="107" t="s">
        <v>103</v>
      </c>
      <c r="D84" s="210" t="s">
        <v>190</v>
      </c>
      <c r="E84" s="211"/>
      <c r="F84" s="83" t="s">
        <v>277</v>
      </c>
      <c r="G84" s="137">
        <v>18.99995</v>
      </c>
      <c r="H84" s="126"/>
      <c r="I84" s="35"/>
    </row>
    <row r="85" spans="1:9" ht="12" customHeight="1">
      <c r="A85" s="101"/>
      <c r="B85" s="74"/>
      <c r="C85" s="115"/>
      <c r="D85" s="212" t="s">
        <v>396</v>
      </c>
      <c r="E85" s="213"/>
      <c r="F85" s="213"/>
      <c r="G85" s="138">
        <v>18.99995</v>
      </c>
      <c r="H85" s="101"/>
      <c r="I85" s="35"/>
    </row>
    <row r="86" spans="1:9" ht="12.75">
      <c r="A86" s="108" t="s">
        <v>22</v>
      </c>
      <c r="B86" s="93"/>
      <c r="C86" s="108" t="s">
        <v>102</v>
      </c>
      <c r="D86" s="214" t="s">
        <v>191</v>
      </c>
      <c r="E86" s="215"/>
      <c r="F86" s="80" t="s">
        <v>276</v>
      </c>
      <c r="G86" s="128">
        <v>0.6744</v>
      </c>
      <c r="H86" s="128"/>
      <c r="I86" s="35"/>
    </row>
    <row r="87" spans="1:9" ht="12" customHeight="1">
      <c r="A87" s="99"/>
      <c r="C87" s="114"/>
      <c r="D87" s="186" t="s">
        <v>397</v>
      </c>
      <c r="E87" s="187"/>
      <c r="F87" s="187"/>
      <c r="G87" s="118">
        <v>0.6744</v>
      </c>
      <c r="H87" s="99"/>
      <c r="I87" s="35"/>
    </row>
    <row r="88" spans="1:9" ht="12.75">
      <c r="A88" s="103" t="s">
        <v>23</v>
      </c>
      <c r="B88" s="89"/>
      <c r="C88" s="103" t="s">
        <v>102</v>
      </c>
      <c r="D88" s="198" t="s">
        <v>192</v>
      </c>
      <c r="E88" s="199"/>
      <c r="F88" s="78" t="s">
        <v>276</v>
      </c>
      <c r="G88" s="122">
        <v>12.61199</v>
      </c>
      <c r="H88" s="122"/>
      <c r="I88" s="35"/>
    </row>
    <row r="89" spans="1:9" ht="12" customHeight="1">
      <c r="A89" s="99"/>
      <c r="B89" s="79"/>
      <c r="C89" s="114"/>
      <c r="D89" s="186" t="s">
        <v>398</v>
      </c>
      <c r="E89" s="187"/>
      <c r="F89" s="187"/>
      <c r="G89" s="118">
        <v>44.75455</v>
      </c>
      <c r="H89" s="99"/>
      <c r="I89" s="35"/>
    </row>
    <row r="90" spans="1:9" ht="12" customHeight="1">
      <c r="A90" s="104"/>
      <c r="B90" s="90"/>
      <c r="C90" s="104"/>
      <c r="D90" s="200" t="s">
        <v>399</v>
      </c>
      <c r="E90" s="201"/>
      <c r="F90" s="202"/>
      <c r="G90" s="123">
        <v>-30.07076</v>
      </c>
      <c r="H90" s="134"/>
      <c r="I90" s="35"/>
    </row>
    <row r="91" spans="1:9" ht="12" customHeight="1">
      <c r="A91" s="104"/>
      <c r="B91" s="90"/>
      <c r="C91" s="104"/>
      <c r="D91" s="200" t="s">
        <v>400</v>
      </c>
      <c r="E91" s="201"/>
      <c r="F91" s="202"/>
      <c r="G91" s="123">
        <v>-0.09</v>
      </c>
      <c r="H91" s="134"/>
      <c r="I91" s="35"/>
    </row>
    <row r="92" spans="1:9" ht="12" customHeight="1">
      <c r="A92" s="104"/>
      <c r="B92" s="90"/>
      <c r="C92" s="104"/>
      <c r="D92" s="200" t="s">
        <v>401</v>
      </c>
      <c r="E92" s="201"/>
      <c r="F92" s="202"/>
      <c r="G92" s="123">
        <v>-0.165</v>
      </c>
      <c r="H92" s="134"/>
      <c r="I92" s="35"/>
    </row>
    <row r="93" spans="1:9" ht="12" customHeight="1">
      <c r="A93" s="104"/>
      <c r="B93" s="90"/>
      <c r="C93" s="104"/>
      <c r="D93" s="200" t="s">
        <v>402</v>
      </c>
      <c r="E93" s="201"/>
      <c r="F93" s="202"/>
      <c r="G93" s="123">
        <v>-0.15</v>
      </c>
      <c r="H93" s="134"/>
      <c r="I93" s="35"/>
    </row>
    <row r="94" spans="1:9" ht="12" customHeight="1">
      <c r="A94" s="104"/>
      <c r="B94" s="90"/>
      <c r="C94" s="104"/>
      <c r="D94" s="200" t="s">
        <v>403</v>
      </c>
      <c r="E94" s="201"/>
      <c r="F94" s="202"/>
      <c r="G94" s="123">
        <v>-0.195</v>
      </c>
      <c r="H94" s="134"/>
      <c r="I94" s="35"/>
    </row>
    <row r="95" spans="1:9" ht="12" customHeight="1">
      <c r="A95" s="104"/>
      <c r="B95" s="90"/>
      <c r="C95" s="104"/>
      <c r="D95" s="200" t="s">
        <v>404</v>
      </c>
      <c r="E95" s="201"/>
      <c r="F95" s="202"/>
      <c r="G95" s="123">
        <v>-0.04</v>
      </c>
      <c r="H95" s="134"/>
      <c r="I95" s="35"/>
    </row>
    <row r="96" spans="1:9" ht="12" customHeight="1">
      <c r="A96" s="104"/>
      <c r="B96" s="90"/>
      <c r="C96" s="104"/>
      <c r="D96" s="200" t="s">
        <v>405</v>
      </c>
      <c r="E96" s="201"/>
      <c r="F96" s="202"/>
      <c r="G96" s="123">
        <v>-0.06</v>
      </c>
      <c r="H96" s="134"/>
      <c r="I96" s="35"/>
    </row>
    <row r="97" spans="1:9" ht="12" customHeight="1">
      <c r="A97" s="104"/>
      <c r="B97" s="90"/>
      <c r="C97" s="104"/>
      <c r="D97" s="200" t="s">
        <v>406</v>
      </c>
      <c r="E97" s="201"/>
      <c r="F97" s="202"/>
      <c r="G97" s="123">
        <v>-0.15</v>
      </c>
      <c r="H97" s="134"/>
      <c r="I97" s="35"/>
    </row>
    <row r="98" spans="1:9" ht="12" customHeight="1">
      <c r="A98" s="104"/>
      <c r="B98" s="90"/>
      <c r="C98" s="104"/>
      <c r="D98" s="200" t="s">
        <v>407</v>
      </c>
      <c r="E98" s="201"/>
      <c r="F98" s="202"/>
      <c r="G98" s="123">
        <v>-0.06</v>
      </c>
      <c r="H98" s="134"/>
      <c r="I98" s="35"/>
    </row>
    <row r="99" spans="1:9" ht="12" customHeight="1">
      <c r="A99" s="104"/>
      <c r="B99" s="90"/>
      <c r="C99" s="104"/>
      <c r="D99" s="200" t="s">
        <v>408</v>
      </c>
      <c r="E99" s="201"/>
      <c r="F99" s="202"/>
      <c r="G99" s="123">
        <v>-0.12</v>
      </c>
      <c r="H99" s="134"/>
      <c r="I99" s="35"/>
    </row>
    <row r="100" spans="1:9" ht="12" customHeight="1">
      <c r="A100" s="104"/>
      <c r="B100" s="90"/>
      <c r="C100" s="104"/>
      <c r="D100" s="200" t="s">
        <v>409</v>
      </c>
      <c r="E100" s="201"/>
      <c r="F100" s="202"/>
      <c r="G100" s="123">
        <v>-0.105</v>
      </c>
      <c r="H100" s="134"/>
      <c r="I100" s="35"/>
    </row>
    <row r="101" spans="1:9" ht="12" customHeight="1">
      <c r="A101" s="104"/>
      <c r="B101" s="90"/>
      <c r="C101" s="104"/>
      <c r="D101" s="200" t="s">
        <v>410</v>
      </c>
      <c r="E101" s="201"/>
      <c r="F101" s="202"/>
      <c r="G101" s="123">
        <v>-0.145</v>
      </c>
      <c r="H101" s="134"/>
      <c r="I101" s="35"/>
    </row>
    <row r="102" spans="1:9" ht="12" customHeight="1">
      <c r="A102" s="104"/>
      <c r="B102" s="90"/>
      <c r="C102" s="104"/>
      <c r="D102" s="200" t="s">
        <v>411</v>
      </c>
      <c r="E102" s="201"/>
      <c r="F102" s="202"/>
      <c r="G102" s="123">
        <v>-0.08</v>
      </c>
      <c r="H102" s="134"/>
      <c r="I102" s="35"/>
    </row>
    <row r="103" spans="1:9" ht="12" customHeight="1">
      <c r="A103" s="104"/>
      <c r="B103" s="90"/>
      <c r="C103" s="104"/>
      <c r="D103" s="200" t="s">
        <v>412</v>
      </c>
      <c r="E103" s="201"/>
      <c r="F103" s="202"/>
      <c r="G103" s="123">
        <v>-0.108</v>
      </c>
      <c r="H103" s="134"/>
      <c r="I103" s="35"/>
    </row>
    <row r="104" spans="1:9" ht="12" customHeight="1">
      <c r="A104" s="104"/>
      <c r="B104" s="90"/>
      <c r="C104" s="104"/>
      <c r="D104" s="200" t="s">
        <v>359</v>
      </c>
      <c r="E104" s="201"/>
      <c r="F104" s="202"/>
      <c r="G104" s="123">
        <v>0</v>
      </c>
      <c r="H104" s="134"/>
      <c r="I104" s="35"/>
    </row>
    <row r="105" spans="1:9" ht="12" customHeight="1">
      <c r="A105" s="104"/>
      <c r="B105" s="90"/>
      <c r="C105" s="104"/>
      <c r="D105" s="200" t="s">
        <v>413</v>
      </c>
      <c r="E105" s="201"/>
      <c r="F105" s="202"/>
      <c r="G105" s="123">
        <v>-0.021</v>
      </c>
      <c r="H105" s="134"/>
      <c r="I105" s="35"/>
    </row>
    <row r="106" spans="1:9" ht="12" customHeight="1">
      <c r="A106" s="104"/>
      <c r="B106" s="90"/>
      <c r="C106" s="104"/>
      <c r="D106" s="200" t="s">
        <v>414</v>
      </c>
      <c r="E106" s="201"/>
      <c r="F106" s="202"/>
      <c r="G106" s="123">
        <v>-0.16</v>
      </c>
      <c r="H106" s="134"/>
      <c r="I106" s="35"/>
    </row>
    <row r="107" spans="1:9" ht="12" customHeight="1">
      <c r="A107" s="104"/>
      <c r="B107" s="90"/>
      <c r="C107" s="104"/>
      <c r="D107" s="200" t="s">
        <v>415</v>
      </c>
      <c r="E107" s="201"/>
      <c r="F107" s="202"/>
      <c r="G107" s="123">
        <v>0</v>
      </c>
      <c r="H107" s="134"/>
      <c r="I107" s="35"/>
    </row>
    <row r="108" spans="1:9" ht="12" customHeight="1">
      <c r="A108" s="104"/>
      <c r="B108" s="90"/>
      <c r="C108" s="104"/>
      <c r="D108" s="200" t="s">
        <v>416</v>
      </c>
      <c r="E108" s="201"/>
      <c r="F108" s="202"/>
      <c r="G108" s="123">
        <v>-0.09</v>
      </c>
      <c r="H108" s="134"/>
      <c r="I108" s="35"/>
    </row>
    <row r="109" spans="1:9" ht="12" customHeight="1">
      <c r="A109" s="104"/>
      <c r="B109" s="90"/>
      <c r="C109" s="104"/>
      <c r="D109" s="200" t="s">
        <v>417</v>
      </c>
      <c r="E109" s="201"/>
      <c r="F109" s="202"/>
      <c r="G109" s="123">
        <v>-0.07</v>
      </c>
      <c r="H109" s="134"/>
      <c r="I109" s="35"/>
    </row>
    <row r="110" spans="1:9" ht="12" customHeight="1">
      <c r="A110" s="104"/>
      <c r="B110" s="90"/>
      <c r="C110" s="104"/>
      <c r="D110" s="200" t="s">
        <v>418</v>
      </c>
      <c r="E110" s="201"/>
      <c r="F110" s="202"/>
      <c r="G110" s="123">
        <v>-0.075</v>
      </c>
      <c r="H110" s="134"/>
      <c r="I110" s="35"/>
    </row>
    <row r="111" spans="1:9" ht="12" customHeight="1">
      <c r="A111" s="104"/>
      <c r="B111" s="90"/>
      <c r="C111" s="104"/>
      <c r="D111" s="200" t="s">
        <v>419</v>
      </c>
      <c r="E111" s="201"/>
      <c r="F111" s="202"/>
      <c r="G111" s="123">
        <v>-0.06</v>
      </c>
      <c r="H111" s="134"/>
      <c r="I111" s="35"/>
    </row>
    <row r="112" spans="1:9" ht="12" customHeight="1">
      <c r="A112" s="104"/>
      <c r="B112" s="90"/>
      <c r="C112" s="104"/>
      <c r="D112" s="200" t="s">
        <v>418</v>
      </c>
      <c r="E112" s="201"/>
      <c r="F112" s="202"/>
      <c r="G112" s="123">
        <v>-0.075</v>
      </c>
      <c r="H112" s="134"/>
      <c r="I112" s="35"/>
    </row>
    <row r="113" spans="1:9" ht="12" customHeight="1">
      <c r="A113" s="105"/>
      <c r="B113" s="91"/>
      <c r="C113" s="105"/>
      <c r="D113" s="203" t="s">
        <v>420</v>
      </c>
      <c r="E113" s="204"/>
      <c r="F113" s="205"/>
      <c r="G113" s="124">
        <v>-0.0528</v>
      </c>
      <c r="H113" s="135"/>
      <c r="I113" s="35"/>
    </row>
    <row r="114" spans="1:9" ht="12.75">
      <c r="A114" s="100" t="s">
        <v>24</v>
      </c>
      <c r="B114" s="4"/>
      <c r="C114" s="100" t="s">
        <v>102</v>
      </c>
      <c r="D114" s="184" t="s">
        <v>193</v>
      </c>
      <c r="E114" s="185"/>
      <c r="F114" s="4" t="s">
        <v>276</v>
      </c>
      <c r="G114" s="119">
        <v>4.8</v>
      </c>
      <c r="H114" s="119"/>
      <c r="I114" s="35"/>
    </row>
    <row r="115" spans="1:9" ht="12" customHeight="1">
      <c r="A115" s="99"/>
      <c r="C115" s="114"/>
      <c r="D115" s="186" t="s">
        <v>421</v>
      </c>
      <c r="E115" s="187"/>
      <c r="F115" s="187"/>
      <c r="G115" s="118">
        <v>4.8</v>
      </c>
      <c r="H115" s="99"/>
      <c r="I115" s="35"/>
    </row>
    <row r="116" spans="1:9" ht="12.75">
      <c r="A116" s="37"/>
      <c r="B116" s="82"/>
      <c r="C116" s="37" t="s">
        <v>23</v>
      </c>
      <c r="D116" s="208" t="s">
        <v>194</v>
      </c>
      <c r="E116" s="209"/>
      <c r="F116" s="82"/>
      <c r="G116" s="39"/>
      <c r="H116" s="39"/>
      <c r="I116" s="35"/>
    </row>
    <row r="117" spans="1:9" ht="12.75">
      <c r="A117" s="100" t="s">
        <v>25</v>
      </c>
      <c r="B117" s="4"/>
      <c r="C117" s="100" t="s">
        <v>104</v>
      </c>
      <c r="D117" s="184" t="s">
        <v>195</v>
      </c>
      <c r="E117" s="185"/>
      <c r="F117" s="4" t="s">
        <v>278</v>
      </c>
      <c r="G117" s="119">
        <v>173.28</v>
      </c>
      <c r="H117" s="119"/>
      <c r="I117" s="35"/>
    </row>
    <row r="118" spans="1:9" ht="12" customHeight="1">
      <c r="A118" s="99"/>
      <c r="C118" s="114"/>
      <c r="D118" s="186" t="s">
        <v>422</v>
      </c>
      <c r="E118" s="187"/>
      <c r="F118" s="187"/>
      <c r="G118" s="118">
        <v>84.2</v>
      </c>
      <c r="H118" s="99"/>
      <c r="I118" s="35"/>
    </row>
    <row r="119" spans="1:9" ht="12" customHeight="1">
      <c r="A119" s="100"/>
      <c r="B119" s="4"/>
      <c r="C119" s="100"/>
      <c r="D119" s="186" t="s">
        <v>423</v>
      </c>
      <c r="E119" s="187"/>
      <c r="F119" s="186"/>
      <c r="G119" s="118">
        <v>89.08</v>
      </c>
      <c r="H119" s="133"/>
      <c r="I119" s="35"/>
    </row>
    <row r="120" spans="1:9" ht="12.75">
      <c r="A120" s="98" t="s">
        <v>26</v>
      </c>
      <c r="B120" s="73"/>
      <c r="C120" s="98" t="s">
        <v>105</v>
      </c>
      <c r="D120" s="190" t="s">
        <v>196</v>
      </c>
      <c r="E120" s="191"/>
      <c r="F120" s="73" t="s">
        <v>278</v>
      </c>
      <c r="G120" s="117">
        <v>67.44</v>
      </c>
      <c r="H120" s="117"/>
      <c r="I120" s="35"/>
    </row>
    <row r="121" spans="1:9" ht="12" customHeight="1">
      <c r="A121" s="101"/>
      <c r="B121" s="74"/>
      <c r="C121" s="115"/>
      <c r="D121" s="192" t="s">
        <v>424</v>
      </c>
      <c r="E121" s="193"/>
      <c r="F121" s="193"/>
      <c r="G121" s="120">
        <v>67.44</v>
      </c>
      <c r="H121" s="101"/>
      <c r="I121" s="35"/>
    </row>
    <row r="122" spans="1:9" ht="12.75">
      <c r="A122" s="102"/>
      <c r="B122" s="5"/>
      <c r="C122" s="102" t="s">
        <v>26</v>
      </c>
      <c r="D122" s="194" t="s">
        <v>197</v>
      </c>
      <c r="E122" s="195"/>
      <c r="F122" s="5"/>
      <c r="G122" s="121"/>
      <c r="H122" s="121"/>
      <c r="I122" s="35"/>
    </row>
    <row r="123" spans="1:9" ht="12.75">
      <c r="A123" s="98" t="s">
        <v>27</v>
      </c>
      <c r="B123" s="73"/>
      <c r="C123" s="98" t="s">
        <v>106</v>
      </c>
      <c r="D123" s="190" t="s">
        <v>198</v>
      </c>
      <c r="E123" s="191"/>
      <c r="F123" s="73" t="s">
        <v>279</v>
      </c>
      <c r="G123" s="117">
        <v>20.86</v>
      </c>
      <c r="H123" s="117"/>
      <c r="I123" s="35"/>
    </row>
    <row r="124" spans="1:9" ht="12" customHeight="1">
      <c r="A124" s="99"/>
      <c r="B124" s="79"/>
      <c r="C124" s="114"/>
      <c r="D124" s="186" t="s">
        <v>425</v>
      </c>
      <c r="E124" s="187"/>
      <c r="F124" s="187"/>
      <c r="G124" s="118">
        <v>16.86</v>
      </c>
      <c r="H124" s="99"/>
      <c r="I124" s="35"/>
    </row>
    <row r="125" spans="1:9" ht="12" customHeight="1">
      <c r="A125" s="109"/>
      <c r="B125" s="6"/>
      <c r="C125" s="109"/>
      <c r="D125" s="192" t="s">
        <v>426</v>
      </c>
      <c r="E125" s="193"/>
      <c r="F125" s="192"/>
      <c r="G125" s="120">
        <v>4</v>
      </c>
      <c r="H125" s="136"/>
      <c r="I125" s="35"/>
    </row>
    <row r="126" spans="1:9" ht="12.75">
      <c r="A126" s="102"/>
      <c r="B126" s="5"/>
      <c r="C126" s="102" t="s">
        <v>32</v>
      </c>
      <c r="D126" s="194" t="s">
        <v>199</v>
      </c>
      <c r="E126" s="195"/>
      <c r="F126" s="5"/>
      <c r="G126" s="121"/>
      <c r="H126" s="121"/>
      <c r="I126" s="35"/>
    </row>
    <row r="127" spans="1:9" ht="12.75">
      <c r="A127" s="103" t="s">
        <v>28</v>
      </c>
      <c r="B127" s="89"/>
      <c r="C127" s="103" t="s">
        <v>107</v>
      </c>
      <c r="D127" s="198" t="s">
        <v>200</v>
      </c>
      <c r="E127" s="199"/>
      <c r="F127" s="78" t="s">
        <v>276</v>
      </c>
      <c r="G127" s="122">
        <v>9.1044</v>
      </c>
      <c r="H127" s="122"/>
      <c r="I127" s="35"/>
    </row>
    <row r="128" spans="1:9" ht="12" customHeight="1">
      <c r="A128" s="99"/>
      <c r="B128" s="79"/>
      <c r="C128" s="114"/>
      <c r="D128" s="186" t="s">
        <v>427</v>
      </c>
      <c r="E128" s="187"/>
      <c r="F128" s="187"/>
      <c r="G128" s="118">
        <v>0.567</v>
      </c>
      <c r="H128" s="99"/>
      <c r="I128" s="35"/>
    </row>
    <row r="129" spans="1:9" ht="12" customHeight="1">
      <c r="A129" s="104"/>
      <c r="B129" s="90"/>
      <c r="C129" s="104"/>
      <c r="D129" s="200" t="s">
        <v>428</v>
      </c>
      <c r="E129" s="201"/>
      <c r="F129" s="202"/>
      <c r="G129" s="123">
        <v>1.62</v>
      </c>
      <c r="H129" s="134"/>
      <c r="I129" s="35"/>
    </row>
    <row r="130" spans="1:9" ht="12" customHeight="1">
      <c r="A130" s="104"/>
      <c r="B130" s="90"/>
      <c r="C130" s="104"/>
      <c r="D130" s="200" t="s">
        <v>429</v>
      </c>
      <c r="E130" s="201"/>
      <c r="F130" s="202"/>
      <c r="G130" s="123">
        <v>2.2059</v>
      </c>
      <c r="H130" s="134"/>
      <c r="I130" s="35"/>
    </row>
    <row r="131" spans="1:9" ht="12" customHeight="1">
      <c r="A131" s="104"/>
      <c r="B131" s="90"/>
      <c r="C131" s="104"/>
      <c r="D131" s="200" t="s">
        <v>430</v>
      </c>
      <c r="E131" s="201"/>
      <c r="F131" s="202"/>
      <c r="G131" s="123">
        <v>1.836</v>
      </c>
      <c r="H131" s="134"/>
      <c r="I131" s="35"/>
    </row>
    <row r="132" spans="1:9" ht="12" customHeight="1">
      <c r="A132" s="104"/>
      <c r="B132" s="90"/>
      <c r="C132" s="104"/>
      <c r="D132" s="200" t="s">
        <v>430</v>
      </c>
      <c r="E132" s="201"/>
      <c r="F132" s="202"/>
      <c r="G132" s="123">
        <v>1.836</v>
      </c>
      <c r="H132" s="134"/>
      <c r="I132" s="35"/>
    </row>
    <row r="133" spans="1:9" ht="12" customHeight="1">
      <c r="A133" s="105"/>
      <c r="B133" s="91"/>
      <c r="C133" s="105"/>
      <c r="D133" s="203" t="s">
        <v>431</v>
      </c>
      <c r="E133" s="204"/>
      <c r="F133" s="205"/>
      <c r="G133" s="124">
        <v>1.0395</v>
      </c>
      <c r="H133" s="135"/>
      <c r="I133" s="35"/>
    </row>
    <row r="134" spans="1:9" ht="12.75">
      <c r="A134" s="100" t="s">
        <v>29</v>
      </c>
      <c r="B134" s="4"/>
      <c r="C134" s="100" t="s">
        <v>107</v>
      </c>
      <c r="D134" s="184" t="s">
        <v>201</v>
      </c>
      <c r="E134" s="185"/>
      <c r="F134" s="4" t="s">
        <v>276</v>
      </c>
      <c r="G134" s="119">
        <v>0.0434</v>
      </c>
      <c r="H134" s="119"/>
      <c r="I134" s="35"/>
    </row>
    <row r="135" spans="1:9" ht="12" customHeight="1">
      <c r="A135" s="99"/>
      <c r="C135" s="114"/>
      <c r="D135" s="186" t="s">
        <v>432</v>
      </c>
      <c r="E135" s="187"/>
      <c r="F135" s="187"/>
      <c r="G135" s="118">
        <v>0.0434</v>
      </c>
      <c r="H135" s="99"/>
      <c r="I135" s="35"/>
    </row>
    <row r="136" spans="1:9" ht="12.75">
      <c r="A136" s="98" t="s">
        <v>30</v>
      </c>
      <c r="B136" s="73"/>
      <c r="C136" s="98" t="s">
        <v>108</v>
      </c>
      <c r="D136" s="190" t="s">
        <v>202</v>
      </c>
      <c r="E136" s="191"/>
      <c r="F136" s="73" t="s">
        <v>278</v>
      </c>
      <c r="G136" s="117">
        <v>15.7264</v>
      </c>
      <c r="H136" s="117"/>
      <c r="I136" s="35"/>
    </row>
    <row r="137" spans="1:9" ht="12" customHeight="1">
      <c r="A137" s="99"/>
      <c r="B137" s="79"/>
      <c r="C137" s="114"/>
      <c r="D137" s="186" t="s">
        <v>433</v>
      </c>
      <c r="E137" s="187"/>
      <c r="F137" s="187"/>
      <c r="G137" s="118">
        <v>0.945</v>
      </c>
      <c r="H137" s="99"/>
      <c r="I137" s="35"/>
    </row>
    <row r="138" spans="1:9" ht="12" customHeight="1">
      <c r="A138" s="100"/>
      <c r="B138" s="4"/>
      <c r="C138" s="100"/>
      <c r="D138" s="186" t="s">
        <v>434</v>
      </c>
      <c r="E138" s="187"/>
      <c r="F138" s="186"/>
      <c r="G138" s="118">
        <v>2.7</v>
      </c>
      <c r="H138" s="133"/>
      <c r="I138" s="35"/>
    </row>
    <row r="139" spans="1:9" ht="12" customHeight="1">
      <c r="A139" s="100"/>
      <c r="B139" s="4"/>
      <c r="C139" s="100"/>
      <c r="D139" s="186" t="s">
        <v>435</v>
      </c>
      <c r="E139" s="187"/>
      <c r="F139" s="186"/>
      <c r="G139" s="118">
        <v>3.6765</v>
      </c>
      <c r="H139" s="133"/>
      <c r="I139" s="35"/>
    </row>
    <row r="140" spans="1:9" ht="12" customHeight="1">
      <c r="A140" s="100"/>
      <c r="B140" s="4"/>
      <c r="C140" s="100"/>
      <c r="D140" s="186" t="s">
        <v>436</v>
      </c>
      <c r="E140" s="187"/>
      <c r="F140" s="186"/>
      <c r="G140" s="118">
        <v>3.06</v>
      </c>
      <c r="H140" s="133"/>
      <c r="I140" s="35"/>
    </row>
    <row r="141" spans="1:9" ht="12" customHeight="1">
      <c r="A141" s="100"/>
      <c r="B141" s="4"/>
      <c r="C141" s="100"/>
      <c r="D141" s="186" t="s">
        <v>436</v>
      </c>
      <c r="E141" s="187"/>
      <c r="F141" s="186"/>
      <c r="G141" s="118">
        <v>3.06</v>
      </c>
      <c r="H141" s="133"/>
      <c r="I141" s="35"/>
    </row>
    <row r="142" spans="1:9" ht="12" customHeight="1">
      <c r="A142" s="100"/>
      <c r="B142" s="4"/>
      <c r="C142" s="100"/>
      <c r="D142" s="186" t="s">
        <v>437</v>
      </c>
      <c r="E142" s="187"/>
      <c r="F142" s="186"/>
      <c r="G142" s="118">
        <v>1.7325</v>
      </c>
      <c r="H142" s="133"/>
      <c r="I142" s="35"/>
    </row>
    <row r="143" spans="1:9" ht="12" customHeight="1">
      <c r="A143" s="100"/>
      <c r="B143" s="4"/>
      <c r="C143" s="100"/>
      <c r="D143" s="186" t="s">
        <v>359</v>
      </c>
      <c r="E143" s="187"/>
      <c r="F143" s="186"/>
      <c r="G143" s="118">
        <v>0</v>
      </c>
      <c r="H143" s="133"/>
      <c r="I143" s="35"/>
    </row>
    <row r="144" spans="1:9" ht="12" customHeight="1">
      <c r="A144" s="109"/>
      <c r="B144" s="6"/>
      <c r="C144" s="109"/>
      <c r="D144" s="192" t="s">
        <v>438</v>
      </c>
      <c r="E144" s="193"/>
      <c r="F144" s="192"/>
      <c r="G144" s="120">
        <v>0.5524</v>
      </c>
      <c r="H144" s="136"/>
      <c r="I144" s="35"/>
    </row>
    <row r="145" spans="1:9" ht="12.75">
      <c r="A145" s="100" t="s">
        <v>31</v>
      </c>
      <c r="B145" s="4"/>
      <c r="C145" s="100" t="s">
        <v>109</v>
      </c>
      <c r="D145" s="184" t="s">
        <v>203</v>
      </c>
      <c r="E145" s="185"/>
      <c r="F145" s="4" t="s">
        <v>278</v>
      </c>
      <c r="G145" s="119">
        <v>15.7264</v>
      </c>
      <c r="H145" s="119"/>
      <c r="I145" s="35"/>
    </row>
    <row r="146" spans="1:9" ht="12.75">
      <c r="A146" s="43" t="s">
        <v>32</v>
      </c>
      <c r="B146" s="94"/>
      <c r="C146" s="43" t="s">
        <v>110</v>
      </c>
      <c r="D146" s="216" t="s">
        <v>204</v>
      </c>
      <c r="E146" s="217"/>
      <c r="F146" s="85" t="s">
        <v>280</v>
      </c>
      <c r="G146" s="44">
        <v>25</v>
      </c>
      <c r="H146" s="44"/>
      <c r="I146" s="35"/>
    </row>
    <row r="147" spans="1:9" ht="12.75">
      <c r="A147" s="108" t="s">
        <v>33</v>
      </c>
      <c r="B147" s="93"/>
      <c r="C147" s="108" t="s">
        <v>107</v>
      </c>
      <c r="D147" s="214" t="s">
        <v>205</v>
      </c>
      <c r="E147" s="215"/>
      <c r="F147" s="80" t="s">
        <v>276</v>
      </c>
      <c r="G147" s="128">
        <v>30.07076</v>
      </c>
      <c r="H147" s="128"/>
      <c r="I147" s="35"/>
    </row>
    <row r="148" spans="1:9" ht="12" customHeight="1">
      <c r="A148" s="99"/>
      <c r="C148" s="114"/>
      <c r="D148" s="186" t="s">
        <v>439</v>
      </c>
      <c r="E148" s="187"/>
      <c r="F148" s="187"/>
      <c r="G148" s="118">
        <v>1.14156</v>
      </c>
      <c r="H148" s="99"/>
      <c r="I148" s="35"/>
    </row>
    <row r="149" spans="1:9" ht="12" customHeight="1">
      <c r="A149" s="104"/>
      <c r="B149" s="90"/>
      <c r="C149" s="104"/>
      <c r="D149" s="200" t="s">
        <v>440</v>
      </c>
      <c r="E149" s="201"/>
      <c r="F149" s="202"/>
      <c r="G149" s="123">
        <v>0.8154</v>
      </c>
      <c r="H149" s="134"/>
      <c r="I149" s="35"/>
    </row>
    <row r="150" spans="1:9" ht="12" customHeight="1">
      <c r="A150" s="104"/>
      <c r="B150" s="90"/>
      <c r="C150" s="104"/>
      <c r="D150" s="200" t="s">
        <v>441</v>
      </c>
      <c r="E150" s="201"/>
      <c r="F150" s="202"/>
      <c r="G150" s="123">
        <v>0.81</v>
      </c>
      <c r="H150" s="134"/>
      <c r="I150" s="35"/>
    </row>
    <row r="151" spans="1:9" ht="12" customHeight="1">
      <c r="A151" s="104"/>
      <c r="B151" s="90"/>
      <c r="C151" s="104"/>
      <c r="D151" s="200" t="s">
        <v>442</v>
      </c>
      <c r="E151" s="201"/>
      <c r="F151" s="202"/>
      <c r="G151" s="123">
        <v>1.17</v>
      </c>
      <c r="H151" s="134"/>
      <c r="I151" s="35"/>
    </row>
    <row r="152" spans="1:9" ht="12" customHeight="1">
      <c r="A152" s="104"/>
      <c r="B152" s="90"/>
      <c r="C152" s="104"/>
      <c r="D152" s="200" t="s">
        <v>443</v>
      </c>
      <c r="E152" s="201"/>
      <c r="F152" s="202"/>
      <c r="G152" s="123">
        <v>1.08</v>
      </c>
      <c r="H152" s="134"/>
      <c r="I152" s="35"/>
    </row>
    <row r="153" spans="1:9" ht="12" customHeight="1">
      <c r="A153" s="104"/>
      <c r="B153" s="90"/>
      <c r="C153" s="104"/>
      <c r="D153" s="200" t="s">
        <v>444</v>
      </c>
      <c r="E153" s="201"/>
      <c r="F153" s="202"/>
      <c r="G153" s="123">
        <v>1.68</v>
      </c>
      <c r="H153" s="134"/>
      <c r="I153" s="35"/>
    </row>
    <row r="154" spans="1:9" ht="12" customHeight="1">
      <c r="A154" s="104"/>
      <c r="B154" s="90"/>
      <c r="C154" s="104"/>
      <c r="D154" s="200" t="s">
        <v>445</v>
      </c>
      <c r="E154" s="201"/>
      <c r="F154" s="202"/>
      <c r="G154" s="123">
        <v>1.08</v>
      </c>
      <c r="H154" s="134"/>
      <c r="I154" s="35"/>
    </row>
    <row r="155" spans="1:9" ht="12" customHeight="1">
      <c r="A155" s="104"/>
      <c r="B155" s="90"/>
      <c r="C155" s="104"/>
      <c r="D155" s="200" t="s">
        <v>446</v>
      </c>
      <c r="E155" s="201"/>
      <c r="F155" s="202"/>
      <c r="G155" s="123">
        <v>1.35</v>
      </c>
      <c r="H155" s="134"/>
      <c r="I155" s="35"/>
    </row>
    <row r="156" spans="1:9" ht="12" customHeight="1">
      <c r="A156" s="104"/>
      <c r="B156" s="90"/>
      <c r="C156" s="104"/>
      <c r="D156" s="200" t="s">
        <v>447</v>
      </c>
      <c r="E156" s="201"/>
      <c r="F156" s="202"/>
      <c r="G156" s="123">
        <v>1.08</v>
      </c>
      <c r="H156" s="134"/>
      <c r="I156" s="35"/>
    </row>
    <row r="157" spans="1:9" ht="12" customHeight="1">
      <c r="A157" s="104"/>
      <c r="B157" s="90"/>
      <c r="C157" s="104"/>
      <c r="D157" s="200" t="s">
        <v>443</v>
      </c>
      <c r="E157" s="201"/>
      <c r="F157" s="202"/>
      <c r="G157" s="123">
        <v>1.08</v>
      </c>
      <c r="H157" s="134"/>
      <c r="I157" s="35"/>
    </row>
    <row r="158" spans="1:9" ht="12" customHeight="1">
      <c r="A158" s="104"/>
      <c r="B158" s="90"/>
      <c r="C158" s="104"/>
      <c r="D158" s="200" t="s">
        <v>448</v>
      </c>
      <c r="E158" s="201"/>
      <c r="F158" s="202"/>
      <c r="G158" s="123">
        <v>0.54</v>
      </c>
      <c r="H158" s="134"/>
      <c r="I158" s="35"/>
    </row>
    <row r="159" spans="1:9" ht="12" customHeight="1">
      <c r="A159" s="104"/>
      <c r="B159" s="90"/>
      <c r="C159" s="104"/>
      <c r="D159" s="200" t="s">
        <v>449</v>
      </c>
      <c r="E159" s="201"/>
      <c r="F159" s="202"/>
      <c r="G159" s="123">
        <v>0.72</v>
      </c>
      <c r="H159" s="134"/>
      <c r="I159" s="35"/>
    </row>
    <row r="160" spans="1:9" ht="12" customHeight="1">
      <c r="A160" s="104"/>
      <c r="B160" s="90"/>
      <c r="C160" s="104"/>
      <c r="D160" s="200" t="s">
        <v>450</v>
      </c>
      <c r="E160" s="201"/>
      <c r="F160" s="202"/>
      <c r="G160" s="123">
        <v>0.486</v>
      </c>
      <c r="H160" s="134"/>
      <c r="I160" s="35"/>
    </row>
    <row r="161" spans="1:9" ht="12" customHeight="1">
      <c r="A161" s="104"/>
      <c r="B161" s="90"/>
      <c r="C161" s="104"/>
      <c r="D161" s="200" t="s">
        <v>359</v>
      </c>
      <c r="E161" s="201"/>
      <c r="F161" s="202"/>
      <c r="G161" s="123">
        <v>0</v>
      </c>
      <c r="H161" s="134"/>
      <c r="I161" s="35"/>
    </row>
    <row r="162" spans="1:9" ht="12" customHeight="1">
      <c r="A162" s="104"/>
      <c r="B162" s="90"/>
      <c r="C162" s="104"/>
      <c r="D162" s="200" t="s">
        <v>427</v>
      </c>
      <c r="E162" s="201"/>
      <c r="F162" s="202"/>
      <c r="G162" s="123">
        <v>0.567</v>
      </c>
      <c r="H162" s="134"/>
      <c r="I162" s="35"/>
    </row>
    <row r="163" spans="1:9" ht="12" customHeight="1">
      <c r="A163" s="104"/>
      <c r="B163" s="90"/>
      <c r="C163" s="104"/>
      <c r="D163" s="200" t="s">
        <v>451</v>
      </c>
      <c r="E163" s="201"/>
      <c r="F163" s="202"/>
      <c r="G163" s="123">
        <v>4.32</v>
      </c>
      <c r="H163" s="134"/>
      <c r="I163" s="35"/>
    </row>
    <row r="164" spans="1:9" ht="12" customHeight="1">
      <c r="A164" s="104"/>
      <c r="B164" s="90"/>
      <c r="C164" s="104"/>
      <c r="D164" s="200" t="s">
        <v>362</v>
      </c>
      <c r="E164" s="201"/>
      <c r="F164" s="202"/>
      <c r="G164" s="123">
        <v>3.726</v>
      </c>
      <c r="H164" s="134"/>
      <c r="I164" s="35"/>
    </row>
    <row r="165" spans="1:9" ht="12" customHeight="1">
      <c r="A165" s="104"/>
      <c r="B165" s="90"/>
      <c r="C165" s="104"/>
      <c r="D165" s="200" t="s">
        <v>452</v>
      </c>
      <c r="E165" s="201"/>
      <c r="F165" s="202"/>
      <c r="G165" s="123">
        <v>2.7</v>
      </c>
      <c r="H165" s="134"/>
      <c r="I165" s="35"/>
    </row>
    <row r="166" spans="1:9" ht="12" customHeight="1">
      <c r="A166" s="104"/>
      <c r="B166" s="90"/>
      <c r="C166" s="104"/>
      <c r="D166" s="200" t="s">
        <v>453</v>
      </c>
      <c r="E166" s="201"/>
      <c r="F166" s="202"/>
      <c r="G166" s="123">
        <v>0.7128</v>
      </c>
      <c r="H166" s="134"/>
      <c r="I166" s="35"/>
    </row>
    <row r="167" spans="1:9" ht="12" customHeight="1">
      <c r="A167" s="104"/>
      <c r="B167" s="90"/>
      <c r="C167" s="104"/>
      <c r="D167" s="200" t="s">
        <v>359</v>
      </c>
      <c r="E167" s="201"/>
      <c r="F167" s="202"/>
      <c r="G167" s="123">
        <v>0</v>
      </c>
      <c r="H167" s="134"/>
      <c r="I167" s="35"/>
    </row>
    <row r="168" spans="1:9" ht="12" customHeight="1">
      <c r="A168" s="104"/>
      <c r="B168" s="90"/>
      <c r="C168" s="104"/>
      <c r="D168" s="200" t="s">
        <v>454</v>
      </c>
      <c r="E168" s="201"/>
      <c r="F168" s="202"/>
      <c r="G168" s="123">
        <v>5.012</v>
      </c>
      <c r="H168" s="134"/>
      <c r="I168" s="35"/>
    </row>
    <row r="169" spans="1:9" ht="12.75">
      <c r="A169" s="98" t="s">
        <v>34</v>
      </c>
      <c r="B169" s="73"/>
      <c r="C169" s="98" t="s">
        <v>111</v>
      </c>
      <c r="D169" s="190" t="s">
        <v>206</v>
      </c>
      <c r="E169" s="191"/>
      <c r="F169" s="73" t="s">
        <v>276</v>
      </c>
      <c r="G169" s="117">
        <v>0.192</v>
      </c>
      <c r="H169" s="117"/>
      <c r="I169" s="35"/>
    </row>
    <row r="170" spans="1:9" ht="12" customHeight="1">
      <c r="A170" s="99"/>
      <c r="B170" s="79"/>
      <c r="C170" s="114"/>
      <c r="D170" s="186" t="s">
        <v>455</v>
      </c>
      <c r="E170" s="187"/>
      <c r="F170" s="187"/>
      <c r="G170" s="118">
        <v>0.588</v>
      </c>
      <c r="H170" s="99"/>
      <c r="I170" s="35"/>
    </row>
    <row r="171" spans="1:9" ht="12" customHeight="1">
      <c r="A171" s="109"/>
      <c r="B171" s="6"/>
      <c r="C171" s="109"/>
      <c r="D171" s="192" t="s">
        <v>456</v>
      </c>
      <c r="E171" s="193"/>
      <c r="F171" s="192"/>
      <c r="G171" s="120">
        <v>-0.396</v>
      </c>
      <c r="H171" s="136"/>
      <c r="I171" s="35"/>
    </row>
    <row r="172" spans="1:9" ht="12.75">
      <c r="A172" s="100" t="s">
        <v>35</v>
      </c>
      <c r="B172" s="4"/>
      <c r="C172" s="100" t="s">
        <v>112</v>
      </c>
      <c r="D172" s="184" t="s">
        <v>207</v>
      </c>
      <c r="E172" s="185"/>
      <c r="F172" s="4" t="s">
        <v>278</v>
      </c>
      <c r="G172" s="119">
        <v>6.36</v>
      </c>
      <c r="H172" s="119"/>
      <c r="I172" s="35"/>
    </row>
    <row r="173" spans="1:9" ht="12" customHeight="1">
      <c r="A173" s="99"/>
      <c r="C173" s="114"/>
      <c r="D173" s="186" t="s">
        <v>457</v>
      </c>
      <c r="E173" s="187"/>
      <c r="F173" s="187"/>
      <c r="G173" s="118">
        <v>3.36</v>
      </c>
      <c r="H173" s="99"/>
      <c r="I173" s="35"/>
    </row>
    <row r="174" spans="1:9" ht="12" customHeight="1">
      <c r="A174" s="100"/>
      <c r="B174" s="4"/>
      <c r="C174" s="100"/>
      <c r="D174" s="186" t="s">
        <v>458</v>
      </c>
      <c r="E174" s="187"/>
      <c r="F174" s="186"/>
      <c r="G174" s="118">
        <v>2.64</v>
      </c>
      <c r="H174" s="133"/>
      <c r="I174" s="35"/>
    </row>
    <row r="175" spans="1:9" ht="12" customHeight="1">
      <c r="A175" s="100"/>
      <c r="B175" s="4"/>
      <c r="C175" s="100"/>
      <c r="D175" s="186" t="s">
        <v>459</v>
      </c>
      <c r="E175" s="187"/>
      <c r="F175" s="186"/>
      <c r="G175" s="118">
        <v>0.36</v>
      </c>
      <c r="H175" s="133"/>
      <c r="I175" s="35"/>
    </row>
    <row r="176" spans="1:9" ht="12.75">
      <c r="A176" s="40" t="s">
        <v>36</v>
      </c>
      <c r="B176" s="76"/>
      <c r="C176" s="40" t="s">
        <v>113</v>
      </c>
      <c r="D176" s="188" t="s">
        <v>208</v>
      </c>
      <c r="E176" s="189"/>
      <c r="F176" s="75" t="s">
        <v>278</v>
      </c>
      <c r="G176" s="41">
        <v>6.36</v>
      </c>
      <c r="H176" s="41"/>
      <c r="I176" s="35"/>
    </row>
    <row r="177" spans="1:9" ht="12.75">
      <c r="A177" s="37"/>
      <c r="B177" s="82"/>
      <c r="C177" s="37" t="s">
        <v>33</v>
      </c>
      <c r="D177" s="218" t="s">
        <v>209</v>
      </c>
      <c r="E177" s="219"/>
      <c r="F177" s="81"/>
      <c r="G177" s="39"/>
      <c r="H177" s="39"/>
      <c r="I177" s="35"/>
    </row>
    <row r="178" spans="1:9" ht="12.75">
      <c r="A178" s="108" t="s">
        <v>37</v>
      </c>
      <c r="B178" s="93"/>
      <c r="C178" s="108" t="s">
        <v>114</v>
      </c>
      <c r="D178" s="214" t="s">
        <v>210</v>
      </c>
      <c r="E178" s="215"/>
      <c r="F178" s="80" t="s">
        <v>278</v>
      </c>
      <c r="G178" s="128">
        <v>44.5104</v>
      </c>
      <c r="H178" s="128"/>
      <c r="I178" s="35"/>
    </row>
    <row r="179" spans="1:9" ht="12" customHeight="1">
      <c r="A179" s="99"/>
      <c r="C179" s="114"/>
      <c r="D179" s="186" t="s">
        <v>460</v>
      </c>
      <c r="E179" s="187"/>
      <c r="F179" s="187"/>
      <c r="G179" s="118">
        <v>40.464</v>
      </c>
      <c r="H179" s="99"/>
      <c r="I179" s="35"/>
    </row>
    <row r="180" spans="1:9" ht="12" customHeight="1">
      <c r="A180" s="104"/>
      <c r="B180" s="90"/>
      <c r="C180" s="104"/>
      <c r="D180" s="200" t="s">
        <v>461</v>
      </c>
      <c r="E180" s="201"/>
      <c r="F180" s="202"/>
      <c r="G180" s="123">
        <v>4.0464</v>
      </c>
      <c r="H180" s="134"/>
      <c r="I180" s="35"/>
    </row>
    <row r="181" spans="1:9" ht="12.75">
      <c r="A181" s="98" t="s">
        <v>38</v>
      </c>
      <c r="B181" s="73"/>
      <c r="C181" s="98" t="s">
        <v>114</v>
      </c>
      <c r="D181" s="190" t="s">
        <v>211</v>
      </c>
      <c r="E181" s="191"/>
      <c r="F181" s="73" t="s">
        <v>278</v>
      </c>
      <c r="G181" s="117">
        <v>26.4</v>
      </c>
      <c r="H181" s="117"/>
      <c r="I181" s="35"/>
    </row>
    <row r="182" spans="1:9" ht="12" customHeight="1">
      <c r="A182" s="99"/>
      <c r="B182" s="79"/>
      <c r="C182" s="114"/>
      <c r="D182" s="186" t="s">
        <v>462</v>
      </c>
      <c r="E182" s="187"/>
      <c r="F182" s="187"/>
      <c r="G182" s="118">
        <v>24</v>
      </c>
      <c r="H182" s="99"/>
      <c r="I182" s="35"/>
    </row>
    <row r="183" spans="1:9" ht="12" customHeight="1">
      <c r="A183" s="109"/>
      <c r="B183" s="6"/>
      <c r="C183" s="109"/>
      <c r="D183" s="192" t="s">
        <v>463</v>
      </c>
      <c r="E183" s="193"/>
      <c r="F183" s="192"/>
      <c r="G183" s="120">
        <v>2.4</v>
      </c>
      <c r="H183" s="136"/>
      <c r="I183" s="35"/>
    </row>
    <row r="184" spans="1:9" ht="12.75">
      <c r="A184" s="102"/>
      <c r="B184" s="5"/>
      <c r="C184" s="102" t="s">
        <v>38</v>
      </c>
      <c r="D184" s="194" t="s">
        <v>212</v>
      </c>
      <c r="E184" s="195"/>
      <c r="F184" s="5"/>
      <c r="G184" s="121"/>
      <c r="H184" s="121"/>
      <c r="I184" s="35"/>
    </row>
    <row r="185" spans="1:9" ht="12.75">
      <c r="A185" s="103" t="s">
        <v>39</v>
      </c>
      <c r="B185" s="89"/>
      <c r="C185" s="103" t="s">
        <v>115</v>
      </c>
      <c r="D185" s="198" t="s">
        <v>213</v>
      </c>
      <c r="E185" s="199"/>
      <c r="F185" s="78" t="s">
        <v>280</v>
      </c>
      <c r="G185" s="122">
        <v>30</v>
      </c>
      <c r="H185" s="122"/>
      <c r="I185" s="35"/>
    </row>
    <row r="186" spans="1:9" ht="12" customHeight="1">
      <c r="A186" s="101"/>
      <c r="B186" s="74"/>
      <c r="C186" s="115"/>
      <c r="D186" s="192" t="s">
        <v>464</v>
      </c>
      <c r="E186" s="193"/>
      <c r="F186" s="193"/>
      <c r="G186" s="120">
        <v>30</v>
      </c>
      <c r="H186" s="101"/>
      <c r="I186" s="35"/>
    </row>
    <row r="187" spans="1:9" ht="12.75">
      <c r="A187" s="110" t="s">
        <v>40</v>
      </c>
      <c r="B187" s="95"/>
      <c r="C187" s="110" t="s">
        <v>116</v>
      </c>
      <c r="D187" s="220" t="s">
        <v>214</v>
      </c>
      <c r="E187" s="221"/>
      <c r="F187" s="86" t="s">
        <v>280</v>
      </c>
      <c r="G187" s="129">
        <v>4</v>
      </c>
      <c r="H187" s="129"/>
      <c r="I187" s="35"/>
    </row>
    <row r="188" spans="1:9" ht="12.75">
      <c r="A188" s="111" t="s">
        <v>41</v>
      </c>
      <c r="B188" s="96"/>
      <c r="C188" s="111" t="s">
        <v>117</v>
      </c>
      <c r="D188" s="222" t="s">
        <v>215</v>
      </c>
      <c r="E188" s="223"/>
      <c r="F188" s="87" t="s">
        <v>280</v>
      </c>
      <c r="G188" s="130">
        <v>26</v>
      </c>
      <c r="H188" s="130"/>
      <c r="I188" s="35"/>
    </row>
    <row r="189" spans="1:9" ht="12" customHeight="1">
      <c r="A189" s="101"/>
      <c r="B189" s="74"/>
      <c r="C189" s="115"/>
      <c r="D189" s="212" t="s">
        <v>465</v>
      </c>
      <c r="E189" s="213"/>
      <c r="F189" s="213"/>
      <c r="G189" s="127">
        <v>26</v>
      </c>
      <c r="H189" s="101"/>
      <c r="I189" s="35"/>
    </row>
    <row r="190" spans="1:9" ht="12.75">
      <c r="A190" s="108" t="s">
        <v>42</v>
      </c>
      <c r="B190" s="93"/>
      <c r="C190" s="108" t="s">
        <v>118</v>
      </c>
      <c r="D190" s="214" t="s">
        <v>216</v>
      </c>
      <c r="E190" s="215"/>
      <c r="F190" s="80" t="s">
        <v>280</v>
      </c>
      <c r="G190" s="128">
        <v>30</v>
      </c>
      <c r="H190" s="128"/>
      <c r="I190" s="35"/>
    </row>
    <row r="191" spans="1:9" ht="12" customHeight="1">
      <c r="A191" s="99"/>
      <c r="C191" s="114"/>
      <c r="D191" s="186" t="s">
        <v>466</v>
      </c>
      <c r="E191" s="187"/>
      <c r="F191" s="187"/>
      <c r="G191" s="118">
        <v>30</v>
      </c>
      <c r="H191" s="99"/>
      <c r="I191" s="35"/>
    </row>
    <row r="192" spans="1:9" ht="12.75">
      <c r="A192" s="49" t="s">
        <v>43</v>
      </c>
      <c r="B192" s="113"/>
      <c r="C192" s="49" t="s">
        <v>119</v>
      </c>
      <c r="D192" s="224" t="s">
        <v>217</v>
      </c>
      <c r="E192" s="225"/>
      <c r="F192" s="116" t="s">
        <v>280</v>
      </c>
      <c r="G192" s="50">
        <v>30</v>
      </c>
      <c r="H192" s="50"/>
      <c r="I192" s="35"/>
    </row>
    <row r="193" spans="1:9" ht="12.75">
      <c r="A193" s="49" t="s">
        <v>44</v>
      </c>
      <c r="B193" s="113"/>
      <c r="C193" s="49" t="s">
        <v>120</v>
      </c>
      <c r="D193" s="224" t="s">
        <v>218</v>
      </c>
      <c r="E193" s="225"/>
      <c r="F193" s="116" t="s">
        <v>280</v>
      </c>
      <c r="G193" s="50">
        <v>30</v>
      </c>
      <c r="H193" s="50"/>
      <c r="I193" s="35"/>
    </row>
    <row r="194" spans="1:9" ht="12.75">
      <c r="A194" s="112" t="s">
        <v>45</v>
      </c>
      <c r="B194" s="97"/>
      <c r="C194" s="112" t="s">
        <v>121</v>
      </c>
      <c r="D194" s="226" t="s">
        <v>219</v>
      </c>
      <c r="E194" s="227"/>
      <c r="F194" s="88" t="s">
        <v>280</v>
      </c>
      <c r="G194" s="131">
        <v>180</v>
      </c>
      <c r="H194" s="131"/>
      <c r="I194" s="35"/>
    </row>
    <row r="195" spans="1:9" ht="12" customHeight="1">
      <c r="A195" s="99"/>
      <c r="C195" s="114"/>
      <c r="D195" s="228" t="s">
        <v>467</v>
      </c>
      <c r="E195" s="229"/>
      <c r="F195" s="229"/>
      <c r="G195" s="132">
        <v>180</v>
      </c>
      <c r="H195" s="99"/>
      <c r="I195" s="35"/>
    </row>
    <row r="196" spans="1:9" ht="12.75">
      <c r="A196" s="43" t="s">
        <v>46</v>
      </c>
      <c r="B196" s="94"/>
      <c r="C196" s="43" t="s">
        <v>122</v>
      </c>
      <c r="D196" s="230" t="s">
        <v>220</v>
      </c>
      <c r="E196" s="189"/>
      <c r="F196" s="84" t="s">
        <v>280</v>
      </c>
      <c r="G196" s="44">
        <v>1</v>
      </c>
      <c r="H196" s="44"/>
      <c r="I196" s="35"/>
    </row>
    <row r="197" spans="1:9" ht="12.75">
      <c r="A197" s="37"/>
      <c r="B197" s="82"/>
      <c r="C197" s="37" t="s">
        <v>39</v>
      </c>
      <c r="D197" s="218" t="s">
        <v>221</v>
      </c>
      <c r="E197" s="219"/>
      <c r="F197" s="81"/>
      <c r="G197" s="39"/>
      <c r="H197" s="39"/>
      <c r="I197" s="35"/>
    </row>
    <row r="198" spans="1:9" ht="12.75">
      <c r="A198" s="100" t="s">
        <v>47</v>
      </c>
      <c r="B198" s="4"/>
      <c r="C198" s="100" t="s">
        <v>123</v>
      </c>
      <c r="D198" s="184" t="s">
        <v>222</v>
      </c>
      <c r="E198" s="185"/>
      <c r="F198" s="4" t="s">
        <v>278</v>
      </c>
      <c r="G198" s="119">
        <v>11.7924</v>
      </c>
      <c r="H198" s="119"/>
      <c r="I198" s="35"/>
    </row>
    <row r="199" spans="1:9" ht="12" customHeight="1">
      <c r="A199" s="99"/>
      <c r="C199" s="114"/>
      <c r="D199" s="186" t="s">
        <v>468</v>
      </c>
      <c r="E199" s="187"/>
      <c r="F199" s="187"/>
      <c r="G199" s="118">
        <v>0.63</v>
      </c>
      <c r="H199" s="99"/>
      <c r="I199" s="35"/>
    </row>
    <row r="200" spans="1:9" ht="12" customHeight="1">
      <c r="A200" s="100"/>
      <c r="B200" s="4"/>
      <c r="C200" s="100"/>
      <c r="D200" s="186" t="s">
        <v>469</v>
      </c>
      <c r="E200" s="187"/>
      <c r="F200" s="186"/>
      <c r="G200" s="118">
        <v>2.4</v>
      </c>
      <c r="H200" s="133"/>
      <c r="I200" s="35"/>
    </row>
    <row r="201" spans="1:9" ht="12" customHeight="1">
      <c r="A201" s="100"/>
      <c r="B201" s="4"/>
      <c r="C201" s="100"/>
      <c r="D201" s="186" t="s">
        <v>470</v>
      </c>
      <c r="E201" s="187"/>
      <c r="F201" s="186"/>
      <c r="G201" s="118">
        <v>0.64</v>
      </c>
      <c r="H201" s="133"/>
      <c r="I201" s="35"/>
    </row>
    <row r="202" spans="1:9" ht="12" customHeight="1">
      <c r="A202" s="100"/>
      <c r="B202" s="4"/>
      <c r="C202" s="100"/>
      <c r="D202" s="186" t="s">
        <v>471</v>
      </c>
      <c r="E202" s="187"/>
      <c r="F202" s="186"/>
      <c r="G202" s="118">
        <v>1.1424</v>
      </c>
      <c r="H202" s="133"/>
      <c r="I202" s="35"/>
    </row>
    <row r="203" spans="1:9" ht="12" customHeight="1">
      <c r="A203" s="100"/>
      <c r="B203" s="4"/>
      <c r="C203" s="100"/>
      <c r="D203" s="186" t="s">
        <v>472</v>
      </c>
      <c r="E203" s="187"/>
      <c r="F203" s="186"/>
      <c r="G203" s="118">
        <v>2.72</v>
      </c>
      <c r="H203" s="133"/>
      <c r="I203" s="35"/>
    </row>
    <row r="204" spans="1:9" ht="12" customHeight="1">
      <c r="A204" s="100"/>
      <c r="B204" s="4"/>
      <c r="C204" s="100"/>
      <c r="D204" s="186" t="s">
        <v>472</v>
      </c>
      <c r="E204" s="187"/>
      <c r="F204" s="186"/>
      <c r="G204" s="118">
        <v>2.72</v>
      </c>
      <c r="H204" s="133"/>
      <c r="I204" s="35"/>
    </row>
    <row r="205" spans="1:9" ht="12" customHeight="1">
      <c r="A205" s="100"/>
      <c r="B205" s="4"/>
      <c r="C205" s="100"/>
      <c r="D205" s="186" t="s">
        <v>473</v>
      </c>
      <c r="E205" s="187"/>
      <c r="F205" s="186"/>
      <c r="G205" s="118">
        <v>1.54</v>
      </c>
      <c r="H205" s="133"/>
      <c r="I205" s="35"/>
    </row>
    <row r="206" spans="1:9" ht="12.75">
      <c r="A206" s="98" t="s">
        <v>48</v>
      </c>
      <c r="B206" s="73"/>
      <c r="C206" s="98" t="s">
        <v>123</v>
      </c>
      <c r="D206" s="190" t="s">
        <v>223</v>
      </c>
      <c r="E206" s="191"/>
      <c r="F206" s="73" t="s">
        <v>278</v>
      </c>
      <c r="G206" s="117">
        <v>27.262</v>
      </c>
      <c r="H206" s="117"/>
      <c r="I206" s="35"/>
    </row>
    <row r="207" spans="1:9" ht="12" customHeight="1">
      <c r="A207" s="99"/>
      <c r="B207" s="79"/>
      <c r="C207" s="114"/>
      <c r="D207" s="186" t="s">
        <v>474</v>
      </c>
      <c r="E207" s="187"/>
      <c r="F207" s="187"/>
      <c r="G207" s="118">
        <v>0.906</v>
      </c>
      <c r="H207" s="99"/>
      <c r="I207" s="35"/>
    </row>
    <row r="208" spans="1:9" ht="12" customHeight="1">
      <c r="A208" s="100"/>
      <c r="B208" s="4"/>
      <c r="C208" s="100"/>
      <c r="D208" s="186" t="s">
        <v>475</v>
      </c>
      <c r="E208" s="187"/>
      <c r="F208" s="186"/>
      <c r="G208" s="118">
        <v>1.8</v>
      </c>
      <c r="H208" s="133"/>
      <c r="I208" s="35"/>
    </row>
    <row r="209" spans="1:9" ht="12" customHeight="1">
      <c r="A209" s="100"/>
      <c r="B209" s="4"/>
      <c r="C209" s="100"/>
      <c r="D209" s="186" t="s">
        <v>476</v>
      </c>
      <c r="E209" s="187"/>
      <c r="F209" s="186"/>
      <c r="G209" s="118">
        <v>1.5</v>
      </c>
      <c r="H209" s="133"/>
      <c r="I209" s="35"/>
    </row>
    <row r="210" spans="1:9" ht="12" customHeight="1">
      <c r="A210" s="100"/>
      <c r="B210" s="4"/>
      <c r="C210" s="100"/>
      <c r="D210" s="186" t="s">
        <v>475</v>
      </c>
      <c r="E210" s="187"/>
      <c r="F210" s="186"/>
      <c r="G210" s="118">
        <v>1.8</v>
      </c>
      <c r="H210" s="133"/>
      <c r="I210" s="35"/>
    </row>
    <row r="211" spans="1:9" ht="12" customHeight="1">
      <c r="A211" s="100"/>
      <c r="B211" s="4"/>
      <c r="C211" s="100"/>
      <c r="D211" s="186" t="s">
        <v>477</v>
      </c>
      <c r="E211" s="187"/>
      <c r="F211" s="186"/>
      <c r="G211" s="118">
        <v>0.8</v>
      </c>
      <c r="H211" s="133"/>
      <c r="I211" s="35"/>
    </row>
    <row r="212" spans="1:9" ht="12" customHeight="1">
      <c r="A212" s="100"/>
      <c r="B212" s="4"/>
      <c r="C212" s="100"/>
      <c r="D212" s="186" t="s">
        <v>477</v>
      </c>
      <c r="E212" s="187"/>
      <c r="F212" s="186"/>
      <c r="G212" s="118">
        <v>0.8</v>
      </c>
      <c r="H212" s="133"/>
      <c r="I212" s="35"/>
    </row>
    <row r="213" spans="1:9" ht="12" customHeight="1">
      <c r="A213" s="100"/>
      <c r="B213" s="4"/>
      <c r="C213" s="100"/>
      <c r="D213" s="186" t="s">
        <v>478</v>
      </c>
      <c r="E213" s="187"/>
      <c r="F213" s="186"/>
      <c r="G213" s="118">
        <v>1.5</v>
      </c>
      <c r="H213" s="133"/>
      <c r="I213" s="35"/>
    </row>
    <row r="214" spans="1:9" ht="12" customHeight="1">
      <c r="A214" s="100"/>
      <c r="B214" s="4"/>
      <c r="C214" s="100"/>
      <c r="D214" s="186" t="s">
        <v>479</v>
      </c>
      <c r="E214" s="187"/>
      <c r="F214" s="186"/>
      <c r="G214" s="118">
        <v>1.2</v>
      </c>
      <c r="H214" s="133"/>
      <c r="I214" s="35"/>
    </row>
    <row r="215" spans="1:9" ht="12" customHeight="1">
      <c r="A215" s="100"/>
      <c r="B215" s="4"/>
      <c r="C215" s="100"/>
      <c r="D215" s="186" t="s">
        <v>480</v>
      </c>
      <c r="E215" s="187"/>
      <c r="F215" s="186"/>
      <c r="G215" s="118">
        <v>1</v>
      </c>
      <c r="H215" s="133"/>
      <c r="I215" s="35"/>
    </row>
    <row r="216" spans="1:9" ht="12" customHeight="1">
      <c r="A216" s="100"/>
      <c r="B216" s="4"/>
      <c r="C216" s="100"/>
      <c r="D216" s="186" t="s">
        <v>475</v>
      </c>
      <c r="E216" s="187"/>
      <c r="F216" s="186"/>
      <c r="G216" s="118">
        <v>1.8</v>
      </c>
      <c r="H216" s="133"/>
      <c r="I216" s="35"/>
    </row>
    <row r="217" spans="1:9" ht="12" customHeight="1">
      <c r="A217" s="100"/>
      <c r="B217" s="4"/>
      <c r="C217" s="100"/>
      <c r="D217" s="186" t="s">
        <v>480</v>
      </c>
      <c r="E217" s="187"/>
      <c r="F217" s="186"/>
      <c r="G217" s="118">
        <v>1</v>
      </c>
      <c r="H217" s="133"/>
      <c r="I217" s="35"/>
    </row>
    <row r="218" spans="1:9" ht="12" customHeight="1">
      <c r="A218" s="100"/>
      <c r="B218" s="4"/>
      <c r="C218" s="100"/>
      <c r="D218" s="186" t="s">
        <v>479</v>
      </c>
      <c r="E218" s="187"/>
      <c r="F218" s="186"/>
      <c r="G218" s="118">
        <v>1.2</v>
      </c>
      <c r="H218" s="133"/>
      <c r="I218" s="35"/>
    </row>
    <row r="219" spans="1:9" ht="12" customHeight="1">
      <c r="A219" s="100"/>
      <c r="B219" s="4"/>
      <c r="C219" s="100"/>
      <c r="D219" s="186" t="s">
        <v>481</v>
      </c>
      <c r="E219" s="187"/>
      <c r="F219" s="186"/>
      <c r="G219" s="118">
        <v>0.9</v>
      </c>
      <c r="H219" s="133"/>
      <c r="I219" s="35"/>
    </row>
    <row r="220" spans="1:9" ht="12" customHeight="1">
      <c r="A220" s="100"/>
      <c r="B220" s="4"/>
      <c r="C220" s="100"/>
      <c r="D220" s="186" t="s">
        <v>359</v>
      </c>
      <c r="E220" s="187"/>
      <c r="F220" s="186"/>
      <c r="G220" s="118">
        <v>0</v>
      </c>
      <c r="H220" s="133"/>
      <c r="I220" s="35"/>
    </row>
    <row r="221" spans="1:9" ht="12" customHeight="1">
      <c r="A221" s="100"/>
      <c r="B221" s="4"/>
      <c r="C221" s="100"/>
      <c r="D221" s="186" t="s">
        <v>482</v>
      </c>
      <c r="E221" s="187"/>
      <c r="F221" s="186"/>
      <c r="G221" s="118">
        <v>0.42</v>
      </c>
      <c r="H221" s="133"/>
      <c r="I221" s="35"/>
    </row>
    <row r="222" spans="1:9" ht="12" customHeight="1">
      <c r="A222" s="100"/>
      <c r="B222" s="4"/>
      <c r="C222" s="100"/>
      <c r="D222" s="186" t="s">
        <v>483</v>
      </c>
      <c r="E222" s="187"/>
      <c r="F222" s="186"/>
      <c r="G222" s="118">
        <v>0.6</v>
      </c>
      <c r="H222" s="133"/>
      <c r="I222" s="35"/>
    </row>
    <row r="223" spans="1:9" ht="12" customHeight="1">
      <c r="A223" s="100"/>
      <c r="B223" s="4"/>
      <c r="C223" s="100"/>
      <c r="D223" s="186" t="s">
        <v>484</v>
      </c>
      <c r="E223" s="187"/>
      <c r="F223" s="186"/>
      <c r="G223" s="118">
        <v>0.4</v>
      </c>
      <c r="H223" s="133"/>
      <c r="I223" s="35"/>
    </row>
    <row r="224" spans="1:9" ht="12" customHeight="1">
      <c r="A224" s="100"/>
      <c r="B224" s="4"/>
      <c r="C224" s="100"/>
      <c r="D224" s="186" t="s">
        <v>483</v>
      </c>
      <c r="E224" s="187"/>
      <c r="F224" s="186"/>
      <c r="G224" s="118">
        <v>0.6</v>
      </c>
      <c r="H224" s="133"/>
      <c r="I224" s="35"/>
    </row>
    <row r="225" spans="1:9" ht="12" customHeight="1">
      <c r="A225" s="100"/>
      <c r="B225" s="4"/>
      <c r="C225" s="100"/>
      <c r="D225" s="186" t="s">
        <v>484</v>
      </c>
      <c r="E225" s="187"/>
      <c r="F225" s="186"/>
      <c r="G225" s="118">
        <v>0.4</v>
      </c>
      <c r="H225" s="133"/>
      <c r="I225" s="35"/>
    </row>
    <row r="226" spans="1:9" ht="12" customHeight="1">
      <c r="A226" s="100"/>
      <c r="B226" s="4"/>
      <c r="C226" s="100"/>
      <c r="D226" s="186" t="s">
        <v>483</v>
      </c>
      <c r="E226" s="187"/>
      <c r="F226" s="186"/>
      <c r="G226" s="118">
        <v>0.6</v>
      </c>
      <c r="H226" s="133"/>
      <c r="I226" s="35"/>
    </row>
    <row r="227" spans="1:9" ht="12" customHeight="1">
      <c r="A227" s="100"/>
      <c r="B227" s="4"/>
      <c r="C227" s="100"/>
      <c r="D227" s="186" t="s">
        <v>484</v>
      </c>
      <c r="E227" s="187"/>
      <c r="F227" s="186"/>
      <c r="G227" s="118">
        <v>0.4</v>
      </c>
      <c r="H227" s="133"/>
      <c r="I227" s="35"/>
    </row>
    <row r="228" spans="1:9" ht="12" customHeight="1">
      <c r="A228" s="100"/>
      <c r="B228" s="4"/>
      <c r="C228" s="100"/>
      <c r="D228" s="186" t="s">
        <v>485</v>
      </c>
      <c r="E228" s="187"/>
      <c r="F228" s="186"/>
      <c r="G228" s="118">
        <v>0.8</v>
      </c>
      <c r="H228" s="133"/>
      <c r="I228" s="35"/>
    </row>
    <row r="229" spans="1:9" ht="12" customHeight="1">
      <c r="A229" s="100"/>
      <c r="B229" s="4"/>
      <c r="C229" s="100"/>
      <c r="D229" s="186" t="s">
        <v>483</v>
      </c>
      <c r="E229" s="187"/>
      <c r="F229" s="186"/>
      <c r="G229" s="118">
        <v>0.6</v>
      </c>
      <c r="H229" s="133"/>
      <c r="I229" s="35"/>
    </row>
    <row r="230" spans="1:9" ht="12" customHeight="1">
      <c r="A230" s="100"/>
      <c r="B230" s="4"/>
      <c r="C230" s="100"/>
      <c r="D230" s="186" t="s">
        <v>486</v>
      </c>
      <c r="E230" s="187"/>
      <c r="F230" s="186"/>
      <c r="G230" s="118">
        <v>1.38</v>
      </c>
      <c r="H230" s="133"/>
      <c r="I230" s="35"/>
    </row>
    <row r="231" spans="1:9" ht="12" customHeight="1">
      <c r="A231" s="100"/>
      <c r="B231" s="4"/>
      <c r="C231" s="100"/>
      <c r="D231" s="186" t="s">
        <v>485</v>
      </c>
      <c r="E231" s="187"/>
      <c r="F231" s="186"/>
      <c r="G231" s="118">
        <v>0.8</v>
      </c>
      <c r="H231" s="133"/>
      <c r="I231" s="35"/>
    </row>
    <row r="232" spans="1:9" ht="12" customHeight="1">
      <c r="A232" s="100"/>
      <c r="B232" s="4"/>
      <c r="C232" s="100"/>
      <c r="D232" s="186" t="s">
        <v>487</v>
      </c>
      <c r="E232" s="187"/>
      <c r="F232" s="186"/>
      <c r="G232" s="118">
        <v>1</v>
      </c>
      <c r="H232" s="133"/>
      <c r="I232" s="35"/>
    </row>
    <row r="233" spans="1:9" ht="12" customHeight="1">
      <c r="A233" s="100"/>
      <c r="B233" s="4"/>
      <c r="C233" s="100"/>
      <c r="D233" s="186" t="s">
        <v>483</v>
      </c>
      <c r="E233" s="187"/>
      <c r="F233" s="186"/>
      <c r="G233" s="118">
        <v>0.6</v>
      </c>
      <c r="H233" s="133"/>
      <c r="I233" s="35"/>
    </row>
    <row r="234" spans="1:9" ht="12" customHeight="1">
      <c r="A234" s="100"/>
      <c r="B234" s="4"/>
      <c r="C234" s="100"/>
      <c r="D234" s="186" t="s">
        <v>488</v>
      </c>
      <c r="E234" s="187"/>
      <c r="F234" s="186"/>
      <c r="G234" s="118">
        <v>0.8</v>
      </c>
      <c r="H234" s="133"/>
      <c r="I234" s="35"/>
    </row>
    <row r="235" spans="1:9" ht="12" customHeight="1">
      <c r="A235" s="100"/>
      <c r="B235" s="4"/>
      <c r="C235" s="100"/>
      <c r="D235" s="186" t="s">
        <v>483</v>
      </c>
      <c r="E235" s="187"/>
      <c r="F235" s="186"/>
      <c r="G235" s="118">
        <v>0.6</v>
      </c>
      <c r="H235" s="133"/>
      <c r="I235" s="35"/>
    </row>
    <row r="236" spans="1:9" ht="12" customHeight="1">
      <c r="A236" s="109"/>
      <c r="B236" s="6"/>
      <c r="C236" s="109"/>
      <c r="D236" s="192" t="s">
        <v>489</v>
      </c>
      <c r="E236" s="193"/>
      <c r="F236" s="192"/>
      <c r="G236" s="120">
        <v>1.056</v>
      </c>
      <c r="H236" s="136"/>
      <c r="I236" s="35"/>
    </row>
    <row r="237" spans="1:9" ht="12.75">
      <c r="A237" s="100" t="s">
        <v>49</v>
      </c>
      <c r="B237" s="4"/>
      <c r="C237" s="100" t="s">
        <v>124</v>
      </c>
      <c r="D237" s="184" t="s">
        <v>224</v>
      </c>
      <c r="E237" s="185"/>
      <c r="F237" s="4" t="s">
        <v>277</v>
      </c>
      <c r="G237" s="139">
        <v>0.11068</v>
      </c>
      <c r="H237" s="119"/>
      <c r="I237" s="35"/>
    </row>
    <row r="238" spans="1:9" ht="12" customHeight="1">
      <c r="A238" s="99"/>
      <c r="C238" s="114"/>
      <c r="D238" s="186" t="s">
        <v>490</v>
      </c>
      <c r="E238" s="187"/>
      <c r="F238" s="187"/>
      <c r="G238" s="140">
        <v>0.00995</v>
      </c>
      <c r="H238" s="99"/>
      <c r="I238" s="35"/>
    </row>
    <row r="239" spans="1:9" ht="12" customHeight="1">
      <c r="A239" s="100"/>
      <c r="B239" s="4"/>
      <c r="C239" s="100"/>
      <c r="D239" s="186" t="s">
        <v>491</v>
      </c>
      <c r="E239" s="187"/>
      <c r="F239" s="186"/>
      <c r="G239" s="140">
        <v>0.01758</v>
      </c>
      <c r="H239" s="133"/>
      <c r="I239" s="35"/>
    </row>
    <row r="240" spans="1:9" ht="12" customHeight="1">
      <c r="A240" s="100"/>
      <c r="B240" s="4"/>
      <c r="C240" s="100"/>
      <c r="D240" s="186" t="s">
        <v>492</v>
      </c>
      <c r="E240" s="187"/>
      <c r="F240" s="186"/>
      <c r="G240" s="140">
        <v>0.03712</v>
      </c>
      <c r="H240" s="133"/>
      <c r="I240" s="35"/>
    </row>
    <row r="241" spans="1:9" ht="12" customHeight="1">
      <c r="A241" s="100"/>
      <c r="B241" s="4"/>
      <c r="C241" s="100"/>
      <c r="D241" s="186" t="s">
        <v>493</v>
      </c>
      <c r="E241" s="187"/>
      <c r="F241" s="186"/>
      <c r="G241" s="140">
        <v>0.01732</v>
      </c>
      <c r="H241" s="133"/>
      <c r="I241" s="35"/>
    </row>
    <row r="242" spans="1:9" ht="12" customHeight="1">
      <c r="A242" s="100"/>
      <c r="B242" s="4"/>
      <c r="C242" s="100"/>
      <c r="D242" s="186" t="s">
        <v>494</v>
      </c>
      <c r="E242" s="187"/>
      <c r="F242" s="186"/>
      <c r="G242" s="140">
        <v>0.01865</v>
      </c>
      <c r="H242" s="133"/>
      <c r="I242" s="35"/>
    </row>
    <row r="243" spans="1:9" ht="12" customHeight="1">
      <c r="A243" s="100"/>
      <c r="B243" s="4"/>
      <c r="C243" s="100"/>
      <c r="D243" s="186" t="s">
        <v>359</v>
      </c>
      <c r="E243" s="187"/>
      <c r="F243" s="186"/>
      <c r="G243" s="140">
        <v>0</v>
      </c>
      <c r="H243" s="133"/>
      <c r="I243" s="35"/>
    </row>
    <row r="244" spans="1:9" ht="12" customHeight="1">
      <c r="A244" s="100"/>
      <c r="B244" s="4"/>
      <c r="C244" s="100"/>
      <c r="D244" s="186" t="s">
        <v>495</v>
      </c>
      <c r="E244" s="187"/>
      <c r="F244" s="186"/>
      <c r="G244" s="140">
        <v>0.01006</v>
      </c>
      <c r="H244" s="133"/>
      <c r="I244" s="35"/>
    </row>
    <row r="245" spans="1:9" ht="12.75">
      <c r="A245" s="98" t="s">
        <v>50</v>
      </c>
      <c r="B245" s="73"/>
      <c r="C245" s="98" t="s">
        <v>124</v>
      </c>
      <c r="D245" s="190" t="s">
        <v>225</v>
      </c>
      <c r="E245" s="191"/>
      <c r="F245" s="73" t="s">
        <v>277</v>
      </c>
      <c r="G245" s="141">
        <v>0.18356</v>
      </c>
      <c r="H245" s="117"/>
      <c r="I245" s="35"/>
    </row>
    <row r="246" spans="1:9" ht="12" customHeight="1">
      <c r="A246" s="99"/>
      <c r="B246" s="79"/>
      <c r="C246" s="114"/>
      <c r="D246" s="186" t="s">
        <v>496</v>
      </c>
      <c r="E246" s="187"/>
      <c r="F246" s="187"/>
      <c r="G246" s="140">
        <v>0.0143</v>
      </c>
      <c r="H246" s="99"/>
      <c r="I246" s="35"/>
    </row>
    <row r="247" spans="1:9" ht="12" customHeight="1">
      <c r="A247" s="100"/>
      <c r="B247" s="4"/>
      <c r="C247" s="100"/>
      <c r="D247" s="186" t="s">
        <v>497</v>
      </c>
      <c r="E247" s="187"/>
      <c r="F247" s="186"/>
      <c r="G247" s="140">
        <v>0.03893</v>
      </c>
      <c r="H247" s="133"/>
      <c r="I247" s="35"/>
    </row>
    <row r="248" spans="1:9" ht="12" customHeight="1">
      <c r="A248" s="100"/>
      <c r="B248" s="4"/>
      <c r="C248" s="100"/>
      <c r="D248" s="186" t="s">
        <v>498</v>
      </c>
      <c r="E248" s="187"/>
      <c r="F248" s="186"/>
      <c r="G248" s="140">
        <v>0.05983</v>
      </c>
      <c r="H248" s="133"/>
      <c r="I248" s="35"/>
    </row>
    <row r="249" spans="1:9" ht="12" customHeight="1">
      <c r="A249" s="100"/>
      <c r="B249" s="4"/>
      <c r="C249" s="100"/>
      <c r="D249" s="186" t="s">
        <v>499</v>
      </c>
      <c r="E249" s="187"/>
      <c r="F249" s="186"/>
      <c r="G249" s="140">
        <v>0.01918</v>
      </c>
      <c r="H249" s="133"/>
      <c r="I249" s="35"/>
    </row>
    <row r="250" spans="1:9" ht="12" customHeight="1">
      <c r="A250" s="100"/>
      <c r="B250" s="4"/>
      <c r="C250" s="100"/>
      <c r="D250" s="186" t="s">
        <v>500</v>
      </c>
      <c r="E250" s="187"/>
      <c r="F250" s="186"/>
      <c r="G250" s="140">
        <v>0.03463</v>
      </c>
      <c r="H250" s="133"/>
      <c r="I250" s="35"/>
    </row>
    <row r="251" spans="1:9" ht="12" customHeight="1">
      <c r="A251" s="100"/>
      <c r="B251" s="4"/>
      <c r="C251" s="100"/>
      <c r="D251" s="186" t="s">
        <v>359</v>
      </c>
      <c r="E251" s="187"/>
      <c r="F251" s="186"/>
      <c r="G251" s="140">
        <v>0</v>
      </c>
      <c r="H251" s="133"/>
      <c r="I251" s="35"/>
    </row>
    <row r="252" spans="1:9" ht="12" customHeight="1">
      <c r="A252" s="109"/>
      <c r="B252" s="6"/>
      <c r="C252" s="109"/>
      <c r="D252" s="192" t="s">
        <v>501</v>
      </c>
      <c r="E252" s="193"/>
      <c r="F252" s="192"/>
      <c r="G252" s="142">
        <v>0.01669</v>
      </c>
      <c r="H252" s="136"/>
      <c r="I252" s="35"/>
    </row>
    <row r="253" spans="1:9" ht="12.75">
      <c r="A253" s="102"/>
      <c r="B253" s="5"/>
      <c r="C253" s="102" t="s">
        <v>61</v>
      </c>
      <c r="D253" s="194" t="s">
        <v>226</v>
      </c>
      <c r="E253" s="195"/>
      <c r="F253" s="5"/>
      <c r="G253" s="121"/>
      <c r="H253" s="121"/>
      <c r="I253" s="35"/>
    </row>
    <row r="254" spans="1:9" ht="12.75">
      <c r="A254" s="100" t="s">
        <v>51</v>
      </c>
      <c r="B254" s="4"/>
      <c r="C254" s="100" t="s">
        <v>125</v>
      </c>
      <c r="D254" s="184" t="s">
        <v>227</v>
      </c>
      <c r="E254" s="185"/>
      <c r="F254" s="4" t="s">
        <v>278</v>
      </c>
      <c r="G254" s="119">
        <v>12</v>
      </c>
      <c r="H254" s="119"/>
      <c r="I254" s="35"/>
    </row>
    <row r="255" spans="1:9" ht="12" customHeight="1">
      <c r="A255" s="99"/>
      <c r="C255" s="114"/>
      <c r="D255" s="186" t="s">
        <v>502</v>
      </c>
      <c r="E255" s="187"/>
      <c r="F255" s="187"/>
      <c r="G255" s="118">
        <v>12</v>
      </c>
      <c r="H255" s="99"/>
      <c r="I255" s="35"/>
    </row>
    <row r="256" spans="1:9" ht="12.75">
      <c r="A256" s="98" t="s">
        <v>52</v>
      </c>
      <c r="B256" s="73"/>
      <c r="C256" s="98" t="s">
        <v>126</v>
      </c>
      <c r="D256" s="190" t="s">
        <v>228</v>
      </c>
      <c r="E256" s="191"/>
      <c r="F256" s="73" t="s">
        <v>278</v>
      </c>
      <c r="G256" s="117">
        <v>12</v>
      </c>
      <c r="H256" s="117"/>
      <c r="I256" s="35"/>
    </row>
    <row r="257" spans="1:9" ht="12" customHeight="1">
      <c r="A257" s="101"/>
      <c r="B257" s="74"/>
      <c r="C257" s="115"/>
      <c r="D257" s="192" t="s">
        <v>502</v>
      </c>
      <c r="E257" s="193"/>
      <c r="F257" s="193"/>
      <c r="G257" s="120">
        <v>12</v>
      </c>
      <c r="H257" s="101"/>
      <c r="I257" s="35"/>
    </row>
    <row r="258" spans="1:9" ht="12.75">
      <c r="A258" s="100" t="s">
        <v>53</v>
      </c>
      <c r="B258" s="4"/>
      <c r="C258" s="100" t="s">
        <v>127</v>
      </c>
      <c r="D258" s="184" t="s">
        <v>229</v>
      </c>
      <c r="E258" s="185"/>
      <c r="F258" s="4" t="s">
        <v>278</v>
      </c>
      <c r="G258" s="119">
        <v>12</v>
      </c>
      <c r="H258" s="119"/>
      <c r="I258" s="35"/>
    </row>
    <row r="259" spans="1:9" ht="12" customHeight="1">
      <c r="A259" s="99"/>
      <c r="C259" s="114"/>
      <c r="D259" s="186" t="s">
        <v>502</v>
      </c>
      <c r="E259" s="187"/>
      <c r="F259" s="187"/>
      <c r="G259" s="118">
        <v>12</v>
      </c>
      <c r="H259" s="99"/>
      <c r="I259" s="35"/>
    </row>
    <row r="260" spans="1:9" ht="12.75">
      <c r="A260" s="37"/>
      <c r="B260" s="82"/>
      <c r="C260" s="37" t="s">
        <v>68</v>
      </c>
      <c r="D260" s="208" t="s">
        <v>230</v>
      </c>
      <c r="E260" s="209"/>
      <c r="F260" s="82"/>
      <c r="G260" s="39"/>
      <c r="H260" s="39"/>
      <c r="I260" s="35"/>
    </row>
    <row r="261" spans="1:9" ht="12.75">
      <c r="A261" s="108" t="s">
        <v>54</v>
      </c>
      <c r="B261" s="93"/>
      <c r="C261" s="108" t="s">
        <v>128</v>
      </c>
      <c r="D261" s="214" t="s">
        <v>231</v>
      </c>
      <c r="E261" s="215"/>
      <c r="F261" s="80" t="s">
        <v>278</v>
      </c>
      <c r="G261" s="128">
        <v>14.18875</v>
      </c>
      <c r="H261" s="128"/>
      <c r="I261" s="35"/>
    </row>
    <row r="262" spans="1:9" ht="12" customHeight="1">
      <c r="A262" s="99"/>
      <c r="C262" s="114"/>
      <c r="D262" s="186" t="s">
        <v>503</v>
      </c>
      <c r="E262" s="187"/>
      <c r="F262" s="187"/>
      <c r="G262" s="118">
        <v>1.7125</v>
      </c>
      <c r="H262" s="99"/>
      <c r="I262" s="35"/>
    </row>
    <row r="263" spans="1:9" ht="12" customHeight="1">
      <c r="A263" s="104"/>
      <c r="B263" s="90"/>
      <c r="C263" s="104"/>
      <c r="D263" s="200" t="s">
        <v>504</v>
      </c>
      <c r="E263" s="201"/>
      <c r="F263" s="202"/>
      <c r="G263" s="123">
        <v>2.18125</v>
      </c>
      <c r="H263" s="134"/>
      <c r="I263" s="35"/>
    </row>
    <row r="264" spans="1:9" ht="12" customHeight="1">
      <c r="A264" s="104"/>
      <c r="B264" s="90"/>
      <c r="C264" s="104"/>
      <c r="D264" s="200" t="s">
        <v>359</v>
      </c>
      <c r="E264" s="201"/>
      <c r="F264" s="202"/>
      <c r="G264" s="123">
        <v>0</v>
      </c>
      <c r="H264" s="134"/>
      <c r="I264" s="35"/>
    </row>
    <row r="265" spans="1:9" ht="12" customHeight="1">
      <c r="A265" s="104"/>
      <c r="B265" s="90"/>
      <c r="C265" s="104"/>
      <c r="D265" s="200" t="s">
        <v>505</v>
      </c>
      <c r="E265" s="201"/>
      <c r="F265" s="202"/>
      <c r="G265" s="123">
        <v>4.7275</v>
      </c>
      <c r="H265" s="134"/>
      <c r="I265" s="35"/>
    </row>
    <row r="266" spans="1:9" ht="12" customHeight="1">
      <c r="A266" s="104"/>
      <c r="B266" s="90"/>
      <c r="C266" s="104"/>
      <c r="D266" s="200" t="s">
        <v>359</v>
      </c>
      <c r="E266" s="201"/>
      <c r="F266" s="202"/>
      <c r="G266" s="123">
        <v>0</v>
      </c>
      <c r="H266" s="134"/>
      <c r="I266" s="35"/>
    </row>
    <row r="267" spans="1:9" ht="12" customHeight="1">
      <c r="A267" s="104"/>
      <c r="B267" s="90"/>
      <c r="C267" s="104"/>
      <c r="D267" s="200" t="s">
        <v>506</v>
      </c>
      <c r="E267" s="201"/>
      <c r="F267" s="202"/>
      <c r="G267" s="123">
        <v>5.5675</v>
      </c>
      <c r="H267" s="134"/>
      <c r="I267" s="35"/>
    </row>
    <row r="268" spans="1:9" ht="12.75">
      <c r="A268" s="98" t="s">
        <v>55</v>
      </c>
      <c r="B268" s="73"/>
      <c r="C268" s="98" t="s">
        <v>129</v>
      </c>
      <c r="D268" s="190" t="s">
        <v>232</v>
      </c>
      <c r="E268" s="191"/>
      <c r="F268" s="73" t="s">
        <v>278</v>
      </c>
      <c r="G268" s="117">
        <v>8.51325</v>
      </c>
      <c r="H268" s="117"/>
      <c r="I268" s="35"/>
    </row>
    <row r="269" spans="1:9" ht="12" customHeight="1">
      <c r="A269" s="99"/>
      <c r="B269" s="79"/>
      <c r="C269" s="114"/>
      <c r="D269" s="186" t="s">
        <v>507</v>
      </c>
      <c r="E269" s="187"/>
      <c r="F269" s="187"/>
      <c r="G269" s="118">
        <v>1.0275</v>
      </c>
      <c r="H269" s="99"/>
      <c r="I269" s="35"/>
    </row>
    <row r="270" spans="1:9" ht="12" customHeight="1">
      <c r="A270" s="100"/>
      <c r="B270" s="4"/>
      <c r="C270" s="100"/>
      <c r="D270" s="186" t="s">
        <v>508</v>
      </c>
      <c r="E270" s="187"/>
      <c r="F270" s="186"/>
      <c r="G270" s="118">
        <v>1.30875</v>
      </c>
      <c r="H270" s="133"/>
      <c r="I270" s="35"/>
    </row>
    <row r="271" spans="1:9" ht="12" customHeight="1">
      <c r="A271" s="100"/>
      <c r="B271" s="4"/>
      <c r="C271" s="100"/>
      <c r="D271" s="186" t="s">
        <v>359</v>
      </c>
      <c r="E271" s="187"/>
      <c r="F271" s="186"/>
      <c r="G271" s="118">
        <v>0</v>
      </c>
      <c r="H271" s="133"/>
      <c r="I271" s="35"/>
    </row>
    <row r="272" spans="1:9" ht="12" customHeight="1">
      <c r="A272" s="100"/>
      <c r="B272" s="4"/>
      <c r="C272" s="100"/>
      <c r="D272" s="186" t="s">
        <v>509</v>
      </c>
      <c r="E272" s="187"/>
      <c r="F272" s="186"/>
      <c r="G272" s="118">
        <v>2.8365</v>
      </c>
      <c r="H272" s="133"/>
      <c r="I272" s="35"/>
    </row>
    <row r="273" spans="1:9" ht="12" customHeight="1">
      <c r="A273" s="100"/>
      <c r="B273" s="4"/>
      <c r="C273" s="100"/>
      <c r="D273" s="186" t="s">
        <v>359</v>
      </c>
      <c r="E273" s="187"/>
      <c r="F273" s="186"/>
      <c r="G273" s="118">
        <v>0</v>
      </c>
      <c r="H273" s="133"/>
      <c r="I273" s="35"/>
    </row>
    <row r="274" spans="1:9" ht="12" customHeight="1">
      <c r="A274" s="109"/>
      <c r="B274" s="6"/>
      <c r="C274" s="109"/>
      <c r="D274" s="192" t="s">
        <v>510</v>
      </c>
      <c r="E274" s="193"/>
      <c r="F274" s="192"/>
      <c r="G274" s="120">
        <v>3.3405</v>
      </c>
      <c r="H274" s="136"/>
      <c r="I274" s="35"/>
    </row>
    <row r="275" spans="1:9" ht="12.75">
      <c r="A275" s="100" t="s">
        <v>56</v>
      </c>
      <c r="B275" s="4"/>
      <c r="C275" s="100" t="s">
        <v>130</v>
      </c>
      <c r="D275" s="184" t="s">
        <v>233</v>
      </c>
      <c r="E275" s="185"/>
      <c r="F275" s="4" t="s">
        <v>278</v>
      </c>
      <c r="G275" s="119">
        <v>8.5123</v>
      </c>
      <c r="H275" s="119"/>
      <c r="I275" s="35"/>
    </row>
    <row r="276" spans="1:9" ht="12.75">
      <c r="A276" s="37"/>
      <c r="B276" s="82"/>
      <c r="C276" s="37" t="s">
        <v>131</v>
      </c>
      <c r="D276" s="218" t="s">
        <v>234</v>
      </c>
      <c r="E276" s="219"/>
      <c r="F276" s="81"/>
      <c r="G276" s="39"/>
      <c r="H276" s="39"/>
      <c r="I276" s="35"/>
    </row>
    <row r="277" spans="1:9" ht="12.75">
      <c r="A277" s="43" t="s">
        <v>57</v>
      </c>
      <c r="B277" s="94"/>
      <c r="C277" s="43" t="s">
        <v>132</v>
      </c>
      <c r="D277" s="230" t="s">
        <v>235</v>
      </c>
      <c r="E277" s="189"/>
      <c r="F277" s="84" t="s">
        <v>281</v>
      </c>
      <c r="G277" s="44">
        <v>1</v>
      </c>
      <c r="H277" s="44"/>
      <c r="I277" s="35"/>
    </row>
    <row r="278" spans="1:9" ht="12.75">
      <c r="A278" s="37"/>
      <c r="B278" s="82"/>
      <c r="C278" s="37" t="s">
        <v>133</v>
      </c>
      <c r="D278" s="218" t="s">
        <v>236</v>
      </c>
      <c r="E278" s="219"/>
      <c r="F278" s="81"/>
      <c r="G278" s="39"/>
      <c r="H278" s="39"/>
      <c r="I278" s="35"/>
    </row>
    <row r="279" spans="1:9" ht="12.75">
      <c r="A279" s="108" t="s">
        <v>58</v>
      </c>
      <c r="B279" s="93"/>
      <c r="C279" s="108" t="s">
        <v>134</v>
      </c>
      <c r="D279" s="214" t="s">
        <v>237</v>
      </c>
      <c r="E279" s="215"/>
      <c r="F279" s="80" t="s">
        <v>279</v>
      </c>
      <c r="G279" s="128">
        <v>15.575</v>
      </c>
      <c r="H279" s="128"/>
      <c r="I279" s="35"/>
    </row>
    <row r="280" spans="1:9" ht="12" customHeight="1">
      <c r="A280" s="99"/>
      <c r="C280" s="114"/>
      <c r="D280" s="186" t="s">
        <v>511</v>
      </c>
      <c r="E280" s="187"/>
      <c r="F280" s="187"/>
      <c r="G280" s="118">
        <v>15.575</v>
      </c>
      <c r="H280" s="99"/>
      <c r="I280" s="35"/>
    </row>
    <row r="281" spans="1:9" ht="12.75">
      <c r="A281" s="103" t="s">
        <v>59</v>
      </c>
      <c r="B281" s="89"/>
      <c r="C281" s="103" t="s">
        <v>135</v>
      </c>
      <c r="D281" s="198" t="s">
        <v>238</v>
      </c>
      <c r="E281" s="199"/>
      <c r="F281" s="78" t="s">
        <v>279</v>
      </c>
      <c r="G281" s="122">
        <v>41.17</v>
      </c>
      <c r="H281" s="122"/>
      <c r="I281" s="35"/>
    </row>
    <row r="282" spans="1:9" ht="12" customHeight="1">
      <c r="A282" s="99"/>
      <c r="B282" s="79"/>
      <c r="C282" s="114"/>
      <c r="D282" s="186" t="s">
        <v>512</v>
      </c>
      <c r="E282" s="187"/>
      <c r="F282" s="187"/>
      <c r="G282" s="118">
        <v>18.9</v>
      </c>
      <c r="H282" s="99"/>
      <c r="I282" s="35"/>
    </row>
    <row r="283" spans="1:9" ht="12" customHeight="1">
      <c r="A283" s="104"/>
      <c r="B283" s="90"/>
      <c r="C283" s="104"/>
      <c r="D283" s="200" t="s">
        <v>359</v>
      </c>
      <c r="E283" s="201"/>
      <c r="F283" s="202"/>
      <c r="G283" s="123">
        <v>0</v>
      </c>
      <c r="H283" s="134"/>
      <c r="I283" s="35"/>
    </row>
    <row r="284" spans="1:9" ht="12" customHeight="1">
      <c r="A284" s="105"/>
      <c r="B284" s="91"/>
      <c r="C284" s="105"/>
      <c r="D284" s="203" t="s">
        <v>513</v>
      </c>
      <c r="E284" s="204"/>
      <c r="F284" s="205"/>
      <c r="G284" s="124">
        <v>22.27</v>
      </c>
      <c r="H284" s="135"/>
      <c r="I284" s="35"/>
    </row>
    <row r="285" spans="1:9" ht="12.75">
      <c r="A285" s="108" t="s">
        <v>60</v>
      </c>
      <c r="B285" s="93"/>
      <c r="C285" s="108" t="s">
        <v>136</v>
      </c>
      <c r="D285" s="214" t="s">
        <v>239</v>
      </c>
      <c r="E285" s="215"/>
      <c r="F285" s="80" t="s">
        <v>282</v>
      </c>
      <c r="G285" s="128">
        <v>84.32</v>
      </c>
      <c r="H285" s="128"/>
      <c r="I285" s="35"/>
    </row>
    <row r="286" spans="1:9" ht="12" customHeight="1">
      <c r="A286" s="99"/>
      <c r="C286" s="114"/>
      <c r="D286" s="186" t="s">
        <v>514</v>
      </c>
      <c r="E286" s="187"/>
      <c r="F286" s="187"/>
      <c r="G286" s="118">
        <v>23.12</v>
      </c>
      <c r="H286" s="99"/>
      <c r="I286" s="35"/>
    </row>
    <row r="287" spans="1:9" ht="12" customHeight="1">
      <c r="A287" s="104"/>
      <c r="B287" s="90"/>
      <c r="C287" s="104"/>
      <c r="D287" s="200" t="s">
        <v>515</v>
      </c>
      <c r="E287" s="201"/>
      <c r="F287" s="202"/>
      <c r="G287" s="123">
        <v>34</v>
      </c>
      <c r="H287" s="134"/>
      <c r="I287" s="35"/>
    </row>
    <row r="288" spans="1:9" ht="12" customHeight="1">
      <c r="A288" s="104"/>
      <c r="B288" s="90"/>
      <c r="C288" s="104"/>
      <c r="D288" s="200" t="s">
        <v>516</v>
      </c>
      <c r="E288" s="201"/>
      <c r="F288" s="202"/>
      <c r="G288" s="123">
        <v>27.2</v>
      </c>
      <c r="H288" s="134"/>
      <c r="I288" s="35"/>
    </row>
    <row r="289" spans="1:9" ht="12.75">
      <c r="A289" s="103" t="s">
        <v>61</v>
      </c>
      <c r="B289" s="89"/>
      <c r="C289" s="103" t="s">
        <v>137</v>
      </c>
      <c r="D289" s="198" t="s">
        <v>240</v>
      </c>
      <c r="E289" s="199"/>
      <c r="F289" s="78" t="s">
        <v>279</v>
      </c>
      <c r="G289" s="122">
        <v>60.144</v>
      </c>
      <c r="H289" s="122"/>
      <c r="I289" s="35"/>
    </row>
    <row r="290" spans="1:9" ht="12" customHeight="1">
      <c r="A290" s="99"/>
      <c r="B290" s="79"/>
      <c r="C290" s="114"/>
      <c r="D290" s="186" t="s">
        <v>517</v>
      </c>
      <c r="E290" s="187"/>
      <c r="F290" s="187"/>
      <c r="G290" s="118">
        <v>16.86</v>
      </c>
      <c r="H290" s="99"/>
      <c r="I290" s="35"/>
    </row>
    <row r="291" spans="1:9" ht="12" customHeight="1">
      <c r="A291" s="104"/>
      <c r="B291" s="90"/>
      <c r="C291" s="104"/>
      <c r="D291" s="200" t="s">
        <v>359</v>
      </c>
      <c r="E291" s="201"/>
      <c r="F291" s="202"/>
      <c r="G291" s="123">
        <v>0</v>
      </c>
      <c r="H291" s="134"/>
      <c r="I291" s="35"/>
    </row>
    <row r="292" spans="1:9" ht="12" customHeight="1">
      <c r="A292" s="104"/>
      <c r="B292" s="90"/>
      <c r="C292" s="104"/>
      <c r="D292" s="200" t="s">
        <v>518</v>
      </c>
      <c r="E292" s="201"/>
      <c r="F292" s="202"/>
      <c r="G292" s="123">
        <v>21.014</v>
      </c>
      <c r="H292" s="134"/>
      <c r="I292" s="35"/>
    </row>
    <row r="293" spans="1:9" ht="12" customHeight="1">
      <c r="A293" s="104"/>
      <c r="B293" s="90"/>
      <c r="C293" s="104"/>
      <c r="D293" s="200" t="s">
        <v>359</v>
      </c>
      <c r="E293" s="201"/>
      <c r="F293" s="202"/>
      <c r="G293" s="123">
        <v>0</v>
      </c>
      <c r="H293" s="134"/>
      <c r="I293" s="35"/>
    </row>
    <row r="294" spans="1:9" ht="12" customHeight="1">
      <c r="A294" s="105"/>
      <c r="B294" s="91"/>
      <c r="C294" s="105"/>
      <c r="D294" s="203" t="s">
        <v>519</v>
      </c>
      <c r="E294" s="204"/>
      <c r="F294" s="205"/>
      <c r="G294" s="124">
        <v>22.27</v>
      </c>
      <c r="H294" s="135"/>
      <c r="I294" s="35"/>
    </row>
    <row r="295" spans="1:9" ht="12.75">
      <c r="A295" s="108" t="s">
        <v>62</v>
      </c>
      <c r="B295" s="93"/>
      <c r="C295" s="108" t="s">
        <v>137</v>
      </c>
      <c r="D295" s="214" t="s">
        <v>241</v>
      </c>
      <c r="E295" s="215"/>
      <c r="F295" s="80" t="s">
        <v>279</v>
      </c>
      <c r="G295" s="128">
        <v>28.06</v>
      </c>
      <c r="H295" s="128"/>
      <c r="I295" s="35"/>
    </row>
    <row r="296" spans="1:9" ht="12" customHeight="1">
      <c r="A296" s="99"/>
      <c r="C296" s="114"/>
      <c r="D296" s="186" t="s">
        <v>520</v>
      </c>
      <c r="E296" s="187"/>
      <c r="F296" s="187"/>
      <c r="G296" s="118">
        <v>17.01</v>
      </c>
      <c r="H296" s="99"/>
      <c r="I296" s="35"/>
    </row>
    <row r="297" spans="1:9" ht="12" customHeight="1">
      <c r="A297" s="104"/>
      <c r="B297" s="90"/>
      <c r="C297" s="104"/>
      <c r="D297" s="200" t="s">
        <v>359</v>
      </c>
      <c r="E297" s="201"/>
      <c r="F297" s="202"/>
      <c r="G297" s="123">
        <v>0</v>
      </c>
      <c r="H297" s="134"/>
      <c r="I297" s="35"/>
    </row>
    <row r="298" spans="1:9" ht="12" customHeight="1">
      <c r="A298" s="104"/>
      <c r="B298" s="90"/>
      <c r="C298" s="104"/>
      <c r="D298" s="200" t="s">
        <v>521</v>
      </c>
      <c r="E298" s="201"/>
      <c r="F298" s="202"/>
      <c r="G298" s="123">
        <v>7.05</v>
      </c>
      <c r="H298" s="134"/>
      <c r="I298" s="35"/>
    </row>
    <row r="299" spans="1:9" ht="12" customHeight="1">
      <c r="A299" s="104"/>
      <c r="B299" s="90"/>
      <c r="C299" s="104"/>
      <c r="D299" s="200" t="s">
        <v>522</v>
      </c>
      <c r="E299" s="201"/>
      <c r="F299" s="202"/>
      <c r="G299" s="123">
        <v>4</v>
      </c>
      <c r="H299" s="134"/>
      <c r="I299" s="35"/>
    </row>
    <row r="300" spans="1:9" ht="12.75">
      <c r="A300" s="40" t="s">
        <v>63</v>
      </c>
      <c r="B300" s="76"/>
      <c r="C300" s="40" t="s">
        <v>138</v>
      </c>
      <c r="D300" s="188" t="s">
        <v>242</v>
      </c>
      <c r="E300" s="189"/>
      <c r="F300" s="75" t="s">
        <v>280</v>
      </c>
      <c r="G300" s="41">
        <v>1</v>
      </c>
      <c r="H300" s="41"/>
      <c r="I300" s="35"/>
    </row>
    <row r="301" spans="1:9" ht="12.75">
      <c r="A301" s="49" t="s">
        <v>64</v>
      </c>
      <c r="B301" s="113"/>
      <c r="C301" s="49" t="s">
        <v>139</v>
      </c>
      <c r="D301" s="224" t="s">
        <v>243</v>
      </c>
      <c r="E301" s="225"/>
      <c r="F301" s="116" t="s">
        <v>280</v>
      </c>
      <c r="G301" s="50">
        <v>1</v>
      </c>
      <c r="H301" s="50"/>
      <c r="I301" s="35"/>
    </row>
    <row r="302" spans="1:9" ht="12.75">
      <c r="A302" s="40" t="s">
        <v>65</v>
      </c>
      <c r="B302" s="76"/>
      <c r="C302" s="40" t="s">
        <v>140</v>
      </c>
      <c r="D302" s="188" t="s">
        <v>244</v>
      </c>
      <c r="E302" s="189"/>
      <c r="F302" s="75" t="s">
        <v>280</v>
      </c>
      <c r="G302" s="41">
        <v>1</v>
      </c>
      <c r="H302" s="41"/>
      <c r="I302" s="35"/>
    </row>
    <row r="303" spans="1:9" ht="12.75">
      <c r="A303" s="49" t="s">
        <v>66</v>
      </c>
      <c r="B303" s="113"/>
      <c r="C303" s="49" t="s">
        <v>141</v>
      </c>
      <c r="D303" s="224" t="s">
        <v>245</v>
      </c>
      <c r="E303" s="225"/>
      <c r="F303" s="116" t="s">
        <v>280</v>
      </c>
      <c r="G303" s="50">
        <v>1</v>
      </c>
      <c r="H303" s="50"/>
      <c r="I303" s="35"/>
    </row>
    <row r="304" spans="1:9" ht="12.75">
      <c r="A304" s="40" t="s">
        <v>67</v>
      </c>
      <c r="B304" s="76"/>
      <c r="C304" s="40" t="s">
        <v>142</v>
      </c>
      <c r="D304" s="188" t="s">
        <v>246</v>
      </c>
      <c r="E304" s="189"/>
      <c r="F304" s="75" t="s">
        <v>277</v>
      </c>
      <c r="G304" s="60">
        <v>0.2336</v>
      </c>
      <c r="H304" s="41"/>
      <c r="I304" s="35"/>
    </row>
    <row r="305" spans="1:9" ht="12.75">
      <c r="A305" s="37"/>
      <c r="B305" s="82"/>
      <c r="C305" s="37" t="s">
        <v>143</v>
      </c>
      <c r="D305" s="218" t="s">
        <v>247</v>
      </c>
      <c r="E305" s="219"/>
      <c r="F305" s="81"/>
      <c r="G305" s="39"/>
      <c r="H305" s="39"/>
      <c r="I305" s="35"/>
    </row>
    <row r="306" spans="1:9" ht="12.75">
      <c r="A306" s="40" t="s">
        <v>68</v>
      </c>
      <c r="B306" s="76"/>
      <c r="C306" s="40" t="s">
        <v>144</v>
      </c>
      <c r="D306" s="188" t="s">
        <v>248</v>
      </c>
      <c r="E306" s="189"/>
      <c r="F306" s="75" t="s">
        <v>280</v>
      </c>
      <c r="G306" s="41">
        <v>1</v>
      </c>
      <c r="H306" s="41"/>
      <c r="I306" s="35"/>
    </row>
    <row r="307" spans="1:9" ht="12.75">
      <c r="A307" s="37"/>
      <c r="B307" s="82"/>
      <c r="C307" s="37" t="s">
        <v>145</v>
      </c>
      <c r="D307" s="218" t="s">
        <v>249</v>
      </c>
      <c r="E307" s="219"/>
      <c r="F307" s="81"/>
      <c r="G307" s="39"/>
      <c r="H307" s="39"/>
      <c r="I307" s="35"/>
    </row>
    <row r="308" spans="1:9" ht="12.75">
      <c r="A308" s="40" t="s">
        <v>69</v>
      </c>
      <c r="B308" s="76"/>
      <c r="C308" s="40" t="s">
        <v>146</v>
      </c>
      <c r="D308" s="188" t="s">
        <v>250</v>
      </c>
      <c r="E308" s="189"/>
      <c r="F308" s="75" t="s">
        <v>280</v>
      </c>
      <c r="G308" s="41">
        <v>22</v>
      </c>
      <c r="H308" s="41"/>
      <c r="I308" s="35"/>
    </row>
    <row r="309" spans="1:9" ht="12.75">
      <c r="A309" s="100" t="s">
        <v>70</v>
      </c>
      <c r="B309" s="4"/>
      <c r="C309" s="100" t="s">
        <v>147</v>
      </c>
      <c r="D309" s="184" t="s">
        <v>251</v>
      </c>
      <c r="E309" s="185"/>
      <c r="F309" s="4" t="s">
        <v>276</v>
      </c>
      <c r="G309" s="119">
        <v>2.112</v>
      </c>
      <c r="H309" s="119"/>
      <c r="I309" s="35"/>
    </row>
    <row r="310" spans="1:9" ht="12" customHeight="1">
      <c r="A310" s="99"/>
      <c r="C310" s="114"/>
      <c r="D310" s="186" t="s">
        <v>523</v>
      </c>
      <c r="E310" s="187"/>
      <c r="F310" s="187"/>
      <c r="G310" s="118">
        <v>2.112</v>
      </c>
      <c r="H310" s="99"/>
      <c r="I310" s="35"/>
    </row>
    <row r="311" spans="1:9" ht="12.75">
      <c r="A311" s="40" t="s">
        <v>71</v>
      </c>
      <c r="B311" s="76"/>
      <c r="C311" s="40" t="s">
        <v>148</v>
      </c>
      <c r="D311" s="188" t="s">
        <v>252</v>
      </c>
      <c r="E311" s="189"/>
      <c r="F311" s="75" t="s">
        <v>280</v>
      </c>
      <c r="G311" s="41">
        <v>1</v>
      </c>
      <c r="H311" s="41"/>
      <c r="I311" s="35"/>
    </row>
    <row r="312" spans="1:9" ht="12.75">
      <c r="A312" s="108" t="s">
        <v>72</v>
      </c>
      <c r="B312" s="93"/>
      <c r="C312" s="108" t="s">
        <v>149</v>
      </c>
      <c r="D312" s="214" t="s">
        <v>253</v>
      </c>
      <c r="E312" s="215"/>
      <c r="F312" s="80" t="s">
        <v>279</v>
      </c>
      <c r="G312" s="128">
        <v>58.86</v>
      </c>
      <c r="H312" s="128"/>
      <c r="I312" s="35"/>
    </row>
    <row r="313" spans="1:9" ht="12" customHeight="1">
      <c r="A313" s="99"/>
      <c r="C313" s="114"/>
      <c r="D313" s="186" t="s">
        <v>524</v>
      </c>
      <c r="E313" s="187"/>
      <c r="F313" s="187"/>
      <c r="G313" s="118">
        <v>15.51</v>
      </c>
      <c r="H313" s="99"/>
      <c r="I313" s="35"/>
    </row>
    <row r="314" spans="1:9" ht="12" customHeight="1">
      <c r="A314" s="104"/>
      <c r="B314" s="90"/>
      <c r="C314" s="104"/>
      <c r="D314" s="200" t="s">
        <v>525</v>
      </c>
      <c r="E314" s="201"/>
      <c r="F314" s="202"/>
      <c r="G314" s="123">
        <v>21.08</v>
      </c>
      <c r="H314" s="134"/>
      <c r="I314" s="35"/>
    </row>
    <row r="315" spans="1:9" ht="12" customHeight="1">
      <c r="A315" s="104"/>
      <c r="B315" s="90"/>
      <c r="C315" s="104"/>
      <c r="D315" s="200" t="s">
        <v>526</v>
      </c>
      <c r="E315" s="201"/>
      <c r="F315" s="202"/>
      <c r="G315" s="123">
        <v>22.27</v>
      </c>
      <c r="H315" s="134"/>
      <c r="I315" s="35"/>
    </row>
    <row r="316" spans="1:9" ht="12.75">
      <c r="A316" s="37"/>
      <c r="B316" s="82"/>
      <c r="C316" s="37" t="s">
        <v>150</v>
      </c>
      <c r="D316" s="218" t="s">
        <v>254</v>
      </c>
      <c r="E316" s="219"/>
      <c r="F316" s="81"/>
      <c r="G316" s="39"/>
      <c r="H316" s="39"/>
      <c r="I316" s="35"/>
    </row>
    <row r="317" spans="1:9" ht="12.75">
      <c r="A317" s="108" t="s">
        <v>73</v>
      </c>
      <c r="B317" s="93"/>
      <c r="C317" s="108" t="s">
        <v>151</v>
      </c>
      <c r="D317" s="214" t="s">
        <v>255</v>
      </c>
      <c r="E317" s="215"/>
      <c r="F317" s="80" t="s">
        <v>277</v>
      </c>
      <c r="G317" s="143">
        <v>168.1001</v>
      </c>
      <c r="H317" s="128"/>
      <c r="I317" s="35"/>
    </row>
    <row r="318" spans="1:9" ht="12" customHeight="1">
      <c r="A318" s="99"/>
      <c r="C318" s="114"/>
      <c r="D318" s="186" t="s">
        <v>527</v>
      </c>
      <c r="E318" s="187"/>
      <c r="F318" s="187"/>
      <c r="G318" s="140">
        <v>167.8859</v>
      </c>
      <c r="H318" s="99"/>
      <c r="I318" s="35"/>
    </row>
    <row r="319" spans="1:9" ht="12" customHeight="1">
      <c r="A319" s="104"/>
      <c r="B319" s="90"/>
      <c r="C319" s="104"/>
      <c r="D319" s="200" t="s">
        <v>528</v>
      </c>
      <c r="E319" s="201"/>
      <c r="F319" s="202"/>
      <c r="G319" s="144">
        <v>0.2142</v>
      </c>
      <c r="H319" s="134"/>
      <c r="I319" s="35"/>
    </row>
    <row r="320" spans="1:9" ht="12.75">
      <c r="A320" s="37"/>
      <c r="B320" s="82"/>
      <c r="C320" s="37" t="s">
        <v>152</v>
      </c>
      <c r="D320" s="218" t="s">
        <v>256</v>
      </c>
      <c r="E320" s="219"/>
      <c r="F320" s="81"/>
      <c r="G320" s="39"/>
      <c r="H320" s="39"/>
      <c r="I320" s="35"/>
    </row>
    <row r="321" spans="1:9" ht="12.75">
      <c r="A321" s="43" t="s">
        <v>74</v>
      </c>
      <c r="B321" s="94"/>
      <c r="C321" s="43" t="s">
        <v>153</v>
      </c>
      <c r="D321" s="230" t="s">
        <v>257</v>
      </c>
      <c r="E321" s="189"/>
      <c r="F321" s="84" t="s">
        <v>281</v>
      </c>
      <c r="G321" s="44">
        <v>1</v>
      </c>
      <c r="H321" s="44"/>
      <c r="I321" s="35"/>
    </row>
    <row r="322" spans="1:9" ht="12.75">
      <c r="A322" s="40" t="s">
        <v>75</v>
      </c>
      <c r="B322" s="76"/>
      <c r="C322" s="40" t="s">
        <v>154</v>
      </c>
      <c r="D322" s="188" t="s">
        <v>258</v>
      </c>
      <c r="E322" s="189"/>
      <c r="F322" s="75" t="s">
        <v>281</v>
      </c>
      <c r="G322" s="41">
        <v>1</v>
      </c>
      <c r="H322" s="41"/>
      <c r="I322" s="35"/>
    </row>
    <row r="323" spans="1:9" ht="12.75">
      <c r="A323" s="108" t="s">
        <v>76</v>
      </c>
      <c r="B323" s="93"/>
      <c r="C323" s="108" t="s">
        <v>155</v>
      </c>
      <c r="D323" s="214" t="s">
        <v>259</v>
      </c>
      <c r="E323" s="215"/>
      <c r="F323" s="80" t="s">
        <v>279</v>
      </c>
      <c r="G323" s="128">
        <v>61.1565</v>
      </c>
      <c r="H323" s="128"/>
      <c r="I323" s="35"/>
    </row>
    <row r="324" spans="1:9" ht="12" customHeight="1">
      <c r="A324" s="99"/>
      <c r="C324" s="114"/>
      <c r="D324" s="186" t="s">
        <v>529</v>
      </c>
      <c r="E324" s="187"/>
      <c r="F324" s="187"/>
      <c r="G324" s="118">
        <v>16.8625</v>
      </c>
      <c r="H324" s="99"/>
      <c r="I324" s="35"/>
    </row>
    <row r="325" spans="1:9" ht="12" customHeight="1">
      <c r="A325" s="104"/>
      <c r="B325" s="90"/>
      <c r="C325" s="104"/>
      <c r="D325" s="200" t="s">
        <v>530</v>
      </c>
      <c r="E325" s="201"/>
      <c r="F325" s="202"/>
      <c r="G325" s="123">
        <v>21.024</v>
      </c>
      <c r="H325" s="134"/>
      <c r="I325" s="35"/>
    </row>
    <row r="326" spans="1:9" ht="12" customHeight="1">
      <c r="A326" s="104"/>
      <c r="B326" s="90"/>
      <c r="C326" s="104"/>
      <c r="D326" s="200" t="s">
        <v>531</v>
      </c>
      <c r="E326" s="201"/>
      <c r="F326" s="202"/>
      <c r="G326" s="123">
        <v>23.27</v>
      </c>
      <c r="H326" s="134"/>
      <c r="I326" s="35"/>
    </row>
    <row r="327" spans="1:9" ht="12.75">
      <c r="A327" s="103" t="s">
        <v>77</v>
      </c>
      <c r="B327" s="89"/>
      <c r="C327" s="103" t="s">
        <v>156</v>
      </c>
      <c r="D327" s="198" t="s">
        <v>260</v>
      </c>
      <c r="E327" s="199"/>
      <c r="F327" s="78" t="s">
        <v>278</v>
      </c>
      <c r="G327" s="122">
        <v>1.74</v>
      </c>
      <c r="H327" s="122"/>
      <c r="I327" s="35"/>
    </row>
    <row r="328" spans="1:9" ht="12" customHeight="1">
      <c r="A328" s="99"/>
      <c r="B328" s="79"/>
      <c r="C328" s="114"/>
      <c r="D328" s="186" t="s">
        <v>470</v>
      </c>
      <c r="E328" s="187"/>
      <c r="F328" s="187"/>
      <c r="G328" s="118">
        <v>0.64</v>
      </c>
      <c r="H328" s="99"/>
      <c r="I328" s="35"/>
    </row>
    <row r="329" spans="1:9" ht="12" customHeight="1">
      <c r="A329" s="105"/>
      <c r="B329" s="91"/>
      <c r="C329" s="105"/>
      <c r="D329" s="203" t="s">
        <v>532</v>
      </c>
      <c r="E329" s="204"/>
      <c r="F329" s="205"/>
      <c r="G329" s="124">
        <v>1.1</v>
      </c>
      <c r="H329" s="135"/>
      <c r="I329" s="35"/>
    </row>
    <row r="330" spans="1:9" ht="12.75">
      <c r="A330" s="112" t="s">
        <v>78</v>
      </c>
      <c r="B330" s="97"/>
      <c r="C330" s="112" t="s">
        <v>157</v>
      </c>
      <c r="D330" s="226" t="s">
        <v>261</v>
      </c>
      <c r="E330" s="227"/>
      <c r="F330" s="88" t="s">
        <v>278</v>
      </c>
      <c r="G330" s="131">
        <v>2</v>
      </c>
      <c r="H330" s="131"/>
      <c r="I330" s="35"/>
    </row>
    <row r="331" spans="1:9" ht="12" customHeight="1">
      <c r="A331" s="99"/>
      <c r="C331" s="114"/>
      <c r="D331" s="228" t="s">
        <v>533</v>
      </c>
      <c r="E331" s="229"/>
      <c r="F331" s="229"/>
      <c r="G331" s="132">
        <v>2</v>
      </c>
      <c r="H331" s="99"/>
      <c r="I331" s="35"/>
    </row>
    <row r="332" spans="1:9" ht="12.75">
      <c r="A332" s="37"/>
      <c r="B332" s="82"/>
      <c r="C332" s="37" t="s">
        <v>158</v>
      </c>
      <c r="D332" s="218" t="s">
        <v>262</v>
      </c>
      <c r="E332" s="219"/>
      <c r="F332" s="81"/>
      <c r="G332" s="39"/>
      <c r="H332" s="39"/>
      <c r="I332" s="35"/>
    </row>
    <row r="333" spans="1:9" ht="12.75">
      <c r="A333" s="43" t="s">
        <v>79</v>
      </c>
      <c r="B333" s="94"/>
      <c r="C333" s="43" t="s">
        <v>159</v>
      </c>
      <c r="D333" s="230" t="s">
        <v>263</v>
      </c>
      <c r="E333" s="189"/>
      <c r="F333" s="84" t="s">
        <v>277</v>
      </c>
      <c r="G333" s="61">
        <v>4.458</v>
      </c>
      <c r="H333" s="44"/>
      <c r="I333" s="35"/>
    </row>
    <row r="334" spans="1:9" ht="12.75">
      <c r="A334" s="100" t="s">
        <v>80</v>
      </c>
      <c r="B334" s="4"/>
      <c r="C334" s="100" t="s">
        <v>160</v>
      </c>
      <c r="D334" s="184" t="s">
        <v>264</v>
      </c>
      <c r="E334" s="185"/>
      <c r="F334" s="4" t="s">
        <v>277</v>
      </c>
      <c r="G334" s="139">
        <v>17.832</v>
      </c>
      <c r="H334" s="119"/>
      <c r="I334" s="35"/>
    </row>
    <row r="335" spans="1:9" ht="12" customHeight="1">
      <c r="A335" s="99"/>
      <c r="C335" s="114"/>
      <c r="D335" s="186" t="s">
        <v>534</v>
      </c>
      <c r="E335" s="187"/>
      <c r="F335" s="187"/>
      <c r="G335" s="140">
        <v>17.832</v>
      </c>
      <c r="H335" s="99"/>
      <c r="I335" s="35"/>
    </row>
    <row r="336" spans="1:9" ht="12.75">
      <c r="A336" s="40" t="s">
        <v>81</v>
      </c>
      <c r="B336" s="76"/>
      <c r="C336" s="40" t="s">
        <v>161</v>
      </c>
      <c r="D336" s="188" t="s">
        <v>265</v>
      </c>
      <c r="E336" s="189"/>
      <c r="F336" s="75" t="s">
        <v>277</v>
      </c>
      <c r="G336" s="60">
        <v>4.458</v>
      </c>
      <c r="H336" s="41"/>
      <c r="I336" s="35"/>
    </row>
    <row r="337" spans="1:9" ht="12.75">
      <c r="A337" s="40" t="s">
        <v>82</v>
      </c>
      <c r="B337" s="76"/>
      <c r="C337" s="40" t="s">
        <v>162</v>
      </c>
      <c r="D337" s="188" t="s">
        <v>266</v>
      </c>
      <c r="E337" s="189"/>
      <c r="F337" s="75" t="s">
        <v>277</v>
      </c>
      <c r="G337" s="60">
        <v>4.458</v>
      </c>
      <c r="H337" s="41"/>
      <c r="I337" s="35"/>
    </row>
    <row r="338" spans="1:9" ht="12.75">
      <c r="A338" s="100" t="s">
        <v>83</v>
      </c>
      <c r="B338" s="4"/>
      <c r="C338" s="100" t="s">
        <v>163</v>
      </c>
      <c r="D338" s="184" t="s">
        <v>267</v>
      </c>
      <c r="E338" s="185"/>
      <c r="F338" s="4" t="s">
        <v>277</v>
      </c>
      <c r="G338" s="139">
        <v>84.702</v>
      </c>
      <c r="H338" s="119"/>
      <c r="I338" s="35"/>
    </row>
    <row r="339" spans="1:9" ht="12" customHeight="1">
      <c r="A339" s="99"/>
      <c r="C339" s="114"/>
      <c r="D339" s="186" t="s">
        <v>535</v>
      </c>
      <c r="E339" s="187"/>
      <c r="F339" s="187"/>
      <c r="G339" s="140">
        <v>84.702</v>
      </c>
      <c r="H339" s="99"/>
      <c r="I339" s="35"/>
    </row>
    <row r="340" spans="1:9" ht="12.75">
      <c r="A340" s="40" t="s">
        <v>84</v>
      </c>
      <c r="B340" s="76"/>
      <c r="C340" s="40" t="s">
        <v>164</v>
      </c>
      <c r="D340" s="188" t="s">
        <v>268</v>
      </c>
      <c r="E340" s="189"/>
      <c r="F340" s="75" t="s">
        <v>277</v>
      </c>
      <c r="G340" s="60">
        <v>4.224</v>
      </c>
      <c r="H340" s="41"/>
      <c r="I340" s="35"/>
    </row>
    <row r="341" spans="1:9" ht="12.75">
      <c r="A341" s="40" t="s">
        <v>85</v>
      </c>
      <c r="B341" s="76"/>
      <c r="C341" s="40" t="s">
        <v>165</v>
      </c>
      <c r="D341" s="188" t="s">
        <v>269</v>
      </c>
      <c r="E341" s="189"/>
      <c r="F341" s="75" t="s">
        <v>277</v>
      </c>
      <c r="G341" s="60">
        <v>0.088</v>
      </c>
      <c r="H341" s="41"/>
      <c r="I341" s="35"/>
    </row>
    <row r="342" spans="1:9" ht="12.75">
      <c r="A342" s="40" t="s">
        <v>86</v>
      </c>
      <c r="B342" s="76"/>
      <c r="C342" s="40" t="s">
        <v>166</v>
      </c>
      <c r="D342" s="188" t="s">
        <v>270</v>
      </c>
      <c r="E342" s="189"/>
      <c r="F342" s="75" t="s">
        <v>277</v>
      </c>
      <c r="G342" s="60">
        <v>0.146</v>
      </c>
      <c r="H342" s="41"/>
      <c r="I342" s="35"/>
    </row>
    <row r="343" spans="1:8" ht="12.75">
      <c r="A343" s="1"/>
      <c r="B343" s="1"/>
      <c r="C343" s="1"/>
      <c r="D343" s="57"/>
      <c r="E343" s="1"/>
      <c r="F343" s="1"/>
      <c r="G343" s="1"/>
      <c r="H343" s="1"/>
    </row>
    <row r="344" ht="11.25" customHeight="1">
      <c r="A344" s="2" t="s">
        <v>87</v>
      </c>
    </row>
    <row r="345" spans="1:7" ht="12.75">
      <c r="A345" s="176"/>
      <c r="B345" s="168"/>
      <c r="C345" s="168"/>
      <c r="D345" s="168"/>
      <c r="E345" s="168"/>
      <c r="F345" s="168"/>
      <c r="G345" s="168"/>
    </row>
  </sheetData>
  <sheetProtection/>
  <mergeCells count="351">
    <mergeCell ref="D340:E340"/>
    <mergeCell ref="D341:E341"/>
    <mergeCell ref="D342:E342"/>
    <mergeCell ref="A345:G345"/>
    <mergeCell ref="D334:E334"/>
    <mergeCell ref="D335:F335"/>
    <mergeCell ref="D336:E336"/>
    <mergeCell ref="D337:E337"/>
    <mergeCell ref="D338:E338"/>
    <mergeCell ref="D339:F339"/>
    <mergeCell ref="D328:F328"/>
    <mergeCell ref="D329:F329"/>
    <mergeCell ref="D330:E330"/>
    <mergeCell ref="D331:F331"/>
    <mergeCell ref="D332:E332"/>
    <mergeCell ref="D333:E333"/>
    <mergeCell ref="D322:E322"/>
    <mergeCell ref="D323:E323"/>
    <mergeCell ref="D324:F324"/>
    <mergeCell ref="D325:F325"/>
    <mergeCell ref="D326:F326"/>
    <mergeCell ref="D327:E327"/>
    <mergeCell ref="D316:E316"/>
    <mergeCell ref="D317:E317"/>
    <mergeCell ref="D318:F318"/>
    <mergeCell ref="D319:F319"/>
    <mergeCell ref="D320:E320"/>
    <mergeCell ref="D321:E321"/>
    <mergeCell ref="D310:F310"/>
    <mergeCell ref="D311:E311"/>
    <mergeCell ref="D312:E312"/>
    <mergeCell ref="D313:F313"/>
    <mergeCell ref="D314:F314"/>
    <mergeCell ref="D315:F315"/>
    <mergeCell ref="D304:E304"/>
    <mergeCell ref="D305:E305"/>
    <mergeCell ref="D306:E306"/>
    <mergeCell ref="D307:E307"/>
    <mergeCell ref="D308:E308"/>
    <mergeCell ref="D309:E309"/>
    <mergeCell ref="D298:F298"/>
    <mergeCell ref="D299:F299"/>
    <mergeCell ref="D300:E300"/>
    <mergeCell ref="D301:E301"/>
    <mergeCell ref="D302:E302"/>
    <mergeCell ref="D303:E303"/>
    <mergeCell ref="D292:F292"/>
    <mergeCell ref="D293:F293"/>
    <mergeCell ref="D294:F294"/>
    <mergeCell ref="D295:E295"/>
    <mergeCell ref="D296:F296"/>
    <mergeCell ref="D297:F297"/>
    <mergeCell ref="D286:F286"/>
    <mergeCell ref="D287:F287"/>
    <mergeCell ref="D288:F288"/>
    <mergeCell ref="D289:E289"/>
    <mergeCell ref="D290:F290"/>
    <mergeCell ref="D291:F291"/>
    <mergeCell ref="D280:F280"/>
    <mergeCell ref="D281:E281"/>
    <mergeCell ref="D282:F282"/>
    <mergeCell ref="D283:F283"/>
    <mergeCell ref="D284:F284"/>
    <mergeCell ref="D285:E285"/>
    <mergeCell ref="D274:F274"/>
    <mergeCell ref="D275:E275"/>
    <mergeCell ref="D276:E276"/>
    <mergeCell ref="D277:E277"/>
    <mergeCell ref="D278:E278"/>
    <mergeCell ref="D279:E279"/>
    <mergeCell ref="D268:E268"/>
    <mergeCell ref="D269:F269"/>
    <mergeCell ref="D270:F270"/>
    <mergeCell ref="D271:F271"/>
    <mergeCell ref="D272:F272"/>
    <mergeCell ref="D273:F273"/>
    <mergeCell ref="D262:F262"/>
    <mergeCell ref="D263:F263"/>
    <mergeCell ref="D264:F264"/>
    <mergeCell ref="D265:F265"/>
    <mergeCell ref="D266:F266"/>
    <mergeCell ref="D267:F267"/>
    <mergeCell ref="D256:E256"/>
    <mergeCell ref="D257:F257"/>
    <mergeCell ref="D258:E258"/>
    <mergeCell ref="D259:F259"/>
    <mergeCell ref="D260:E260"/>
    <mergeCell ref="D261:E261"/>
    <mergeCell ref="D250:F250"/>
    <mergeCell ref="D251:F251"/>
    <mergeCell ref="D252:F252"/>
    <mergeCell ref="D253:E253"/>
    <mergeCell ref="D254:E254"/>
    <mergeCell ref="D255:F255"/>
    <mergeCell ref="D244:F244"/>
    <mergeCell ref="D245:E245"/>
    <mergeCell ref="D246:F246"/>
    <mergeCell ref="D247:F247"/>
    <mergeCell ref="D248:F248"/>
    <mergeCell ref="D249:F249"/>
    <mergeCell ref="D238:F238"/>
    <mergeCell ref="D239:F239"/>
    <mergeCell ref="D240:F240"/>
    <mergeCell ref="D241:F241"/>
    <mergeCell ref="D242:F242"/>
    <mergeCell ref="D243:F243"/>
    <mergeCell ref="D232:F232"/>
    <mergeCell ref="D233:F233"/>
    <mergeCell ref="D234:F234"/>
    <mergeCell ref="D235:F235"/>
    <mergeCell ref="D236:F236"/>
    <mergeCell ref="D237:E237"/>
    <mergeCell ref="D226:F226"/>
    <mergeCell ref="D227:F227"/>
    <mergeCell ref="D228:F228"/>
    <mergeCell ref="D229:F229"/>
    <mergeCell ref="D230:F230"/>
    <mergeCell ref="D231:F231"/>
    <mergeCell ref="D220:F220"/>
    <mergeCell ref="D221:F221"/>
    <mergeCell ref="D222:F222"/>
    <mergeCell ref="D223:F223"/>
    <mergeCell ref="D224:F224"/>
    <mergeCell ref="D225:F225"/>
    <mergeCell ref="D214:F214"/>
    <mergeCell ref="D215:F215"/>
    <mergeCell ref="D216:F216"/>
    <mergeCell ref="D217:F217"/>
    <mergeCell ref="D218:F218"/>
    <mergeCell ref="D219:F219"/>
    <mergeCell ref="D208:F208"/>
    <mergeCell ref="D209:F209"/>
    <mergeCell ref="D210:F210"/>
    <mergeCell ref="D211:F211"/>
    <mergeCell ref="D212:F212"/>
    <mergeCell ref="D213:F213"/>
    <mergeCell ref="D202:F202"/>
    <mergeCell ref="D203:F203"/>
    <mergeCell ref="D204:F204"/>
    <mergeCell ref="D205:F205"/>
    <mergeCell ref="D206:E206"/>
    <mergeCell ref="D207:F207"/>
    <mergeCell ref="D196:E196"/>
    <mergeCell ref="D197:E197"/>
    <mergeCell ref="D198:E198"/>
    <mergeCell ref="D199:F199"/>
    <mergeCell ref="D200:F200"/>
    <mergeCell ref="D201:F201"/>
    <mergeCell ref="D190:E190"/>
    <mergeCell ref="D191:F191"/>
    <mergeCell ref="D192:E192"/>
    <mergeCell ref="D193:E193"/>
    <mergeCell ref="D194:E194"/>
    <mergeCell ref="D195:F195"/>
    <mergeCell ref="D184:E184"/>
    <mergeCell ref="D185:E185"/>
    <mergeCell ref="D186:F186"/>
    <mergeCell ref="D187:E187"/>
    <mergeCell ref="D188:E188"/>
    <mergeCell ref="D189:F189"/>
    <mergeCell ref="D178:E178"/>
    <mergeCell ref="D179:F179"/>
    <mergeCell ref="D180:F180"/>
    <mergeCell ref="D181:E181"/>
    <mergeCell ref="D182:F182"/>
    <mergeCell ref="D183:F183"/>
    <mergeCell ref="D172:E172"/>
    <mergeCell ref="D173:F173"/>
    <mergeCell ref="D174:F174"/>
    <mergeCell ref="D175:F175"/>
    <mergeCell ref="D176:E176"/>
    <mergeCell ref="D177:E177"/>
    <mergeCell ref="D166:F166"/>
    <mergeCell ref="D167:F167"/>
    <mergeCell ref="D168:F168"/>
    <mergeCell ref="D169:E169"/>
    <mergeCell ref="D170:F170"/>
    <mergeCell ref="D171:F171"/>
    <mergeCell ref="D160:F160"/>
    <mergeCell ref="D161:F161"/>
    <mergeCell ref="D162:F162"/>
    <mergeCell ref="D163:F163"/>
    <mergeCell ref="D164:F164"/>
    <mergeCell ref="D165:F165"/>
    <mergeCell ref="D154:F154"/>
    <mergeCell ref="D155:F155"/>
    <mergeCell ref="D156:F156"/>
    <mergeCell ref="D157:F157"/>
    <mergeCell ref="D158:F158"/>
    <mergeCell ref="D159:F159"/>
    <mergeCell ref="D148:F148"/>
    <mergeCell ref="D149:F149"/>
    <mergeCell ref="D150:F150"/>
    <mergeCell ref="D151:F151"/>
    <mergeCell ref="D152:F152"/>
    <mergeCell ref="D153:F153"/>
    <mergeCell ref="D142:F142"/>
    <mergeCell ref="D143:F143"/>
    <mergeCell ref="D144:F144"/>
    <mergeCell ref="D145:E145"/>
    <mergeCell ref="D146:E146"/>
    <mergeCell ref="D147:E147"/>
    <mergeCell ref="D136:E136"/>
    <mergeCell ref="D137:F137"/>
    <mergeCell ref="D138:F138"/>
    <mergeCell ref="D139:F139"/>
    <mergeCell ref="D140:F140"/>
    <mergeCell ref="D141:F141"/>
    <mergeCell ref="D130:F130"/>
    <mergeCell ref="D131:F131"/>
    <mergeCell ref="D132:F132"/>
    <mergeCell ref="D133:F133"/>
    <mergeCell ref="D134:E134"/>
    <mergeCell ref="D135:F135"/>
    <mergeCell ref="D124:F124"/>
    <mergeCell ref="D125:F125"/>
    <mergeCell ref="D126:E126"/>
    <mergeCell ref="D127:E127"/>
    <mergeCell ref="D128:F128"/>
    <mergeCell ref="D129:F129"/>
    <mergeCell ref="D118:F118"/>
    <mergeCell ref="D119:F119"/>
    <mergeCell ref="D120:E120"/>
    <mergeCell ref="D121:F121"/>
    <mergeCell ref="D122:E122"/>
    <mergeCell ref="D123:E123"/>
    <mergeCell ref="D112:F112"/>
    <mergeCell ref="D113:F113"/>
    <mergeCell ref="D114:E114"/>
    <mergeCell ref="D115:F115"/>
    <mergeCell ref="D116:E116"/>
    <mergeCell ref="D117:E117"/>
    <mergeCell ref="D106:F106"/>
    <mergeCell ref="D107:F107"/>
    <mergeCell ref="D108:F108"/>
    <mergeCell ref="D109:F109"/>
    <mergeCell ref="D110:F110"/>
    <mergeCell ref="D111:F111"/>
    <mergeCell ref="D100:F100"/>
    <mergeCell ref="D101:F101"/>
    <mergeCell ref="D102:F102"/>
    <mergeCell ref="D103:F103"/>
    <mergeCell ref="D104:F104"/>
    <mergeCell ref="D105:F105"/>
    <mergeCell ref="D94:F94"/>
    <mergeCell ref="D95:F95"/>
    <mergeCell ref="D96:F96"/>
    <mergeCell ref="D97:F97"/>
    <mergeCell ref="D98:F98"/>
    <mergeCell ref="D99:F99"/>
    <mergeCell ref="D88:E88"/>
    <mergeCell ref="D89:F89"/>
    <mergeCell ref="D90:F90"/>
    <mergeCell ref="D91:F91"/>
    <mergeCell ref="D92:F92"/>
    <mergeCell ref="D93:F93"/>
    <mergeCell ref="D82:F82"/>
    <mergeCell ref="D83:F83"/>
    <mergeCell ref="D84:E84"/>
    <mergeCell ref="D85:F85"/>
    <mergeCell ref="D86:E86"/>
    <mergeCell ref="D87:F87"/>
    <mergeCell ref="D76:F76"/>
    <mergeCell ref="D77:F77"/>
    <mergeCell ref="D78:F78"/>
    <mergeCell ref="D79:F79"/>
    <mergeCell ref="D80:F80"/>
    <mergeCell ref="D81:F81"/>
    <mergeCell ref="D70:F70"/>
    <mergeCell ref="D71:E71"/>
    <mergeCell ref="D72:E72"/>
    <mergeCell ref="D73:E73"/>
    <mergeCell ref="D74:F74"/>
    <mergeCell ref="D75:F75"/>
    <mergeCell ref="D64:F64"/>
    <mergeCell ref="D65:F65"/>
    <mergeCell ref="D66:F66"/>
    <mergeCell ref="D67:F67"/>
    <mergeCell ref="D68:E68"/>
    <mergeCell ref="D69:E69"/>
    <mergeCell ref="D58:F58"/>
    <mergeCell ref="D59:E59"/>
    <mergeCell ref="D60:F60"/>
    <mergeCell ref="D61:E61"/>
    <mergeCell ref="D62:F62"/>
    <mergeCell ref="D63:E63"/>
    <mergeCell ref="D52:F52"/>
    <mergeCell ref="D53:E53"/>
    <mergeCell ref="D54:F54"/>
    <mergeCell ref="D55:E55"/>
    <mergeCell ref="D56:E56"/>
    <mergeCell ref="D57:E57"/>
    <mergeCell ref="D46:F46"/>
    <mergeCell ref="D47:F47"/>
    <mergeCell ref="D48:F48"/>
    <mergeCell ref="D49:E49"/>
    <mergeCell ref="D50:F50"/>
    <mergeCell ref="D51:E51"/>
    <mergeCell ref="D40:E40"/>
    <mergeCell ref="D41:F41"/>
    <mergeCell ref="D42:F42"/>
    <mergeCell ref="D43:F43"/>
    <mergeCell ref="D44:F44"/>
    <mergeCell ref="D45:F45"/>
    <mergeCell ref="D34:F34"/>
    <mergeCell ref="D35:F35"/>
    <mergeCell ref="D36:F36"/>
    <mergeCell ref="D37:F37"/>
    <mergeCell ref="D38:F38"/>
    <mergeCell ref="D39:E39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16:F16"/>
    <mergeCell ref="D17:F17"/>
    <mergeCell ref="D18:F18"/>
    <mergeCell ref="D19:F19"/>
    <mergeCell ref="D20:F20"/>
    <mergeCell ref="D21:F21"/>
    <mergeCell ref="D10:E10"/>
    <mergeCell ref="D11:E11"/>
    <mergeCell ref="D12:E12"/>
    <mergeCell ref="D13:F13"/>
    <mergeCell ref="D14:F14"/>
    <mergeCell ref="D15:F15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K22" sqref="K22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6.00390625" style="0" customWidth="1"/>
    <col min="9" max="9" width="22.8515625" style="0" customWidth="1"/>
  </cols>
  <sheetData>
    <row r="1" spans="1:9" ht="72.75" customHeight="1">
      <c r="A1" s="145"/>
      <c r="B1" s="146"/>
      <c r="C1" s="231" t="s">
        <v>551</v>
      </c>
      <c r="D1" s="152"/>
      <c r="E1" s="152"/>
      <c r="F1" s="152"/>
      <c r="G1" s="152"/>
      <c r="H1" s="152"/>
      <c r="I1" s="152"/>
    </row>
    <row r="2" spans="1:10" ht="12.75">
      <c r="A2" s="153" t="s">
        <v>0</v>
      </c>
      <c r="B2" s="154"/>
      <c r="C2" s="155" t="str">
        <f>'Stavební rozpočet'!D2</f>
        <v>Oprava výběru pro ličky (nutrie) v části p.p.č.426/1, v areálu ZOO Děčín, k.ú. Podmokly</v>
      </c>
      <c r="D2" s="232"/>
      <c r="E2" s="153" t="s">
        <v>287</v>
      </c>
      <c r="F2" s="153" t="str">
        <f>'Stavební rozpočet'!I2</f>
        <v>ZOO Děčín - Pastýřská stěna, příspěvková organizac</v>
      </c>
      <c r="G2" s="154"/>
      <c r="H2" s="153" t="s">
        <v>575</v>
      </c>
      <c r="I2" s="156" t="s">
        <v>579</v>
      </c>
      <c r="J2" s="35"/>
    </row>
    <row r="3" spans="1:10" ht="25.5" customHeight="1">
      <c r="A3" s="154"/>
      <c r="B3" s="154"/>
      <c r="C3" s="232"/>
      <c r="D3" s="232"/>
      <c r="E3" s="154"/>
      <c r="F3" s="154"/>
      <c r="G3" s="154"/>
      <c r="H3" s="154"/>
      <c r="I3" s="154"/>
      <c r="J3" s="35"/>
    </row>
    <row r="4" spans="1:10" ht="12.75">
      <c r="A4" s="153" t="s">
        <v>1</v>
      </c>
      <c r="B4" s="154"/>
      <c r="C4" s="153" t="str">
        <f>'Stavební rozpočet'!D4</f>
        <v>Oprava a údržba</v>
      </c>
      <c r="D4" s="154"/>
      <c r="E4" s="153" t="s">
        <v>288</v>
      </c>
      <c r="F4" s="153" t="str">
        <f>'Stavební rozpočet'!I4</f>
        <v>SORTKROJEKT Šárka Mancová</v>
      </c>
      <c r="G4" s="154"/>
      <c r="H4" s="153" t="s">
        <v>575</v>
      </c>
      <c r="I4" s="156" t="s">
        <v>580</v>
      </c>
      <c r="J4" s="35"/>
    </row>
    <row r="5" spans="1:10" ht="12.75">
      <c r="A5" s="154"/>
      <c r="B5" s="154"/>
      <c r="C5" s="154"/>
      <c r="D5" s="154"/>
      <c r="E5" s="154"/>
      <c r="F5" s="154"/>
      <c r="G5" s="154"/>
      <c r="H5" s="154"/>
      <c r="I5" s="154"/>
      <c r="J5" s="35"/>
    </row>
    <row r="6" spans="1:10" ht="12.75">
      <c r="A6" s="153" t="s">
        <v>2</v>
      </c>
      <c r="B6" s="154"/>
      <c r="C6" s="153" t="str">
        <f>'Stavební rozpočet'!D6</f>
        <v>p.p.č.426/1, k.ú. Podmokly</v>
      </c>
      <c r="D6" s="154"/>
      <c r="E6" s="153" t="s">
        <v>289</v>
      </c>
      <c r="F6" s="153" t="str">
        <f>'Stavební rozpočet'!I6</f>
        <v> </v>
      </c>
      <c r="G6" s="154"/>
      <c r="H6" s="153" t="s">
        <v>575</v>
      </c>
      <c r="I6" s="156"/>
      <c r="J6" s="35"/>
    </row>
    <row r="7" spans="1:10" ht="12.75">
      <c r="A7" s="154"/>
      <c r="B7" s="154"/>
      <c r="C7" s="154"/>
      <c r="D7" s="154"/>
      <c r="E7" s="154"/>
      <c r="F7" s="154"/>
      <c r="G7" s="154"/>
      <c r="H7" s="154"/>
      <c r="I7" s="154"/>
      <c r="J7" s="35"/>
    </row>
    <row r="8" spans="1:10" ht="12.75">
      <c r="A8" s="153" t="s">
        <v>272</v>
      </c>
      <c r="B8" s="154"/>
      <c r="C8" s="153" t="str">
        <f>'Stavební rozpočet'!G4</f>
        <v> </v>
      </c>
      <c r="D8" s="154"/>
      <c r="E8" s="153" t="s">
        <v>273</v>
      </c>
      <c r="F8" s="153" t="str">
        <f>'Stavební rozpočet'!G6</f>
        <v> </v>
      </c>
      <c r="G8" s="154"/>
      <c r="H8" s="156" t="s">
        <v>576</v>
      </c>
      <c r="I8" s="156" t="s">
        <v>86</v>
      </c>
      <c r="J8" s="35"/>
    </row>
    <row r="9" spans="1:10" ht="12.75">
      <c r="A9" s="154"/>
      <c r="B9" s="154"/>
      <c r="C9" s="154"/>
      <c r="D9" s="154"/>
      <c r="E9" s="154"/>
      <c r="F9" s="154"/>
      <c r="G9" s="154"/>
      <c r="H9" s="154"/>
      <c r="I9" s="154"/>
      <c r="J9" s="35"/>
    </row>
    <row r="10" spans="1:10" ht="12.75">
      <c r="A10" s="153" t="s">
        <v>3</v>
      </c>
      <c r="B10" s="154"/>
      <c r="C10" s="153">
        <f>'Stavební rozpočet'!D8</f>
        <v>8152279</v>
      </c>
      <c r="D10" s="154"/>
      <c r="E10" s="153" t="s">
        <v>290</v>
      </c>
      <c r="F10" s="153" t="str">
        <f>'Stavební rozpočet'!I8</f>
        <v> </v>
      </c>
      <c r="G10" s="154"/>
      <c r="H10" s="156" t="s">
        <v>577</v>
      </c>
      <c r="I10" s="153" t="str">
        <f>'Stavební rozpočet'!G8</f>
        <v>27.09.2021</v>
      </c>
      <c r="J10" s="35"/>
    </row>
    <row r="11" spans="1:10" ht="12.75">
      <c r="A11" s="154"/>
      <c r="B11" s="154"/>
      <c r="C11" s="154"/>
      <c r="D11" s="154"/>
      <c r="E11" s="154"/>
      <c r="F11" s="154"/>
      <c r="G11" s="154"/>
      <c r="H11" s="154"/>
      <c r="I11" s="154"/>
      <c r="J11" s="35"/>
    </row>
    <row r="12" spans="1:9" ht="23.25" customHeight="1">
      <c r="A12" s="233" t="s">
        <v>536</v>
      </c>
      <c r="B12" s="234"/>
      <c r="C12" s="234"/>
      <c r="D12" s="234"/>
      <c r="E12" s="234"/>
      <c r="F12" s="234"/>
      <c r="G12" s="234"/>
      <c r="H12" s="234"/>
      <c r="I12" s="234"/>
    </row>
    <row r="13" spans="1:10" ht="26.25" customHeight="1">
      <c r="A13" s="147" t="s">
        <v>537</v>
      </c>
      <c r="B13" s="235" t="s">
        <v>549</v>
      </c>
      <c r="C13" s="236"/>
      <c r="D13" s="147" t="s">
        <v>552</v>
      </c>
      <c r="E13" s="235" t="s">
        <v>561</v>
      </c>
      <c r="F13" s="236"/>
      <c r="G13" s="147" t="s">
        <v>562</v>
      </c>
      <c r="H13" s="235" t="s">
        <v>578</v>
      </c>
      <c r="I13" s="236"/>
      <c r="J13" s="12"/>
    </row>
    <row r="14" spans="1:10" ht="15" customHeight="1">
      <c r="A14" s="23" t="s">
        <v>538</v>
      </c>
      <c r="B14" s="27" t="s">
        <v>550</v>
      </c>
      <c r="C14" s="31">
        <f>SUM('Stavební rozpočet'!AB12:AB110)</f>
        <v>0</v>
      </c>
      <c r="D14" s="237" t="s">
        <v>553</v>
      </c>
      <c r="E14" s="238"/>
      <c r="F14" s="31">
        <v>0</v>
      </c>
      <c r="G14" s="237" t="s">
        <v>563</v>
      </c>
      <c r="H14" s="238"/>
      <c r="I14" s="31">
        <v>0</v>
      </c>
      <c r="J14" s="12"/>
    </row>
    <row r="15" spans="1:10" ht="15" customHeight="1">
      <c r="A15" s="24"/>
      <c r="B15" s="27" t="s">
        <v>297</v>
      </c>
      <c r="C15" s="31">
        <f>SUM('Stavební rozpočet'!AC12:AC110)</f>
        <v>0</v>
      </c>
      <c r="D15" s="237" t="s">
        <v>554</v>
      </c>
      <c r="E15" s="238"/>
      <c r="F15" s="31">
        <v>0</v>
      </c>
      <c r="G15" s="237" t="s">
        <v>564</v>
      </c>
      <c r="H15" s="238"/>
      <c r="I15" s="31">
        <v>0</v>
      </c>
      <c r="J15" s="12"/>
    </row>
    <row r="16" spans="1:10" ht="15" customHeight="1">
      <c r="A16" s="23" t="s">
        <v>539</v>
      </c>
      <c r="B16" s="27" t="s">
        <v>550</v>
      </c>
      <c r="C16" s="31">
        <f>SUM('Stavební rozpočet'!AD12:AD110)</f>
        <v>0</v>
      </c>
      <c r="D16" s="237" t="s">
        <v>555</v>
      </c>
      <c r="E16" s="238"/>
      <c r="F16" s="31">
        <v>0</v>
      </c>
      <c r="G16" s="237" t="s">
        <v>565</v>
      </c>
      <c r="H16" s="238"/>
      <c r="I16" s="31">
        <v>0</v>
      </c>
      <c r="J16" s="12"/>
    </row>
    <row r="17" spans="1:10" ht="15" customHeight="1">
      <c r="A17" s="24"/>
      <c r="B17" s="27" t="s">
        <v>297</v>
      </c>
      <c r="C17" s="31">
        <f>SUM('Stavební rozpočet'!AE12:AE110)</f>
        <v>0</v>
      </c>
      <c r="D17" s="237"/>
      <c r="E17" s="238"/>
      <c r="F17" s="32"/>
      <c r="G17" s="237" t="s">
        <v>566</v>
      </c>
      <c r="H17" s="238"/>
      <c r="I17" s="31">
        <v>0</v>
      </c>
      <c r="J17" s="12"/>
    </row>
    <row r="18" spans="1:10" ht="15" customHeight="1">
      <c r="A18" s="23" t="s">
        <v>540</v>
      </c>
      <c r="B18" s="27" t="s">
        <v>550</v>
      </c>
      <c r="C18" s="31">
        <f>SUM('Stavební rozpočet'!AF12:AF110)</f>
        <v>0</v>
      </c>
      <c r="D18" s="237"/>
      <c r="E18" s="238"/>
      <c r="F18" s="32"/>
      <c r="G18" s="237" t="s">
        <v>567</v>
      </c>
      <c r="H18" s="238"/>
      <c r="I18" s="31">
        <v>0</v>
      </c>
      <c r="J18" s="12"/>
    </row>
    <row r="19" spans="1:10" ht="15" customHeight="1">
      <c r="A19" s="24"/>
      <c r="B19" s="27" t="s">
        <v>297</v>
      </c>
      <c r="C19" s="31">
        <f>SUM('Stavební rozpočet'!AG12:AG110)</f>
        <v>0</v>
      </c>
      <c r="D19" s="237"/>
      <c r="E19" s="238"/>
      <c r="F19" s="32"/>
      <c r="G19" s="237" t="s">
        <v>568</v>
      </c>
      <c r="H19" s="238"/>
      <c r="I19" s="31">
        <v>0</v>
      </c>
      <c r="J19" s="12"/>
    </row>
    <row r="20" spans="1:10" ht="15" customHeight="1">
      <c r="A20" s="239" t="s">
        <v>541</v>
      </c>
      <c r="B20" s="240"/>
      <c r="C20" s="31">
        <f>SUM('Stavební rozpočet'!AH12:AH110)</f>
        <v>0</v>
      </c>
      <c r="D20" s="237"/>
      <c r="E20" s="238"/>
      <c r="F20" s="32"/>
      <c r="G20" s="237"/>
      <c r="H20" s="238"/>
      <c r="I20" s="32"/>
      <c r="J20" s="12"/>
    </row>
    <row r="21" spans="1:10" ht="15" customHeight="1">
      <c r="A21" s="239" t="s">
        <v>542</v>
      </c>
      <c r="B21" s="240"/>
      <c r="C21" s="31">
        <f>SUM('Stavební rozpočet'!Z12:Z110)</f>
        <v>0</v>
      </c>
      <c r="D21" s="237"/>
      <c r="E21" s="238"/>
      <c r="F21" s="32"/>
      <c r="G21" s="237"/>
      <c r="H21" s="238"/>
      <c r="I21" s="32"/>
      <c r="J21" s="12"/>
    </row>
    <row r="22" spans="1:10" ht="16.5" customHeight="1">
      <c r="A22" s="239" t="s">
        <v>543</v>
      </c>
      <c r="B22" s="240"/>
      <c r="C22" s="31">
        <f>SUM(C14:C21)</f>
        <v>0</v>
      </c>
      <c r="D22" s="239" t="s">
        <v>556</v>
      </c>
      <c r="E22" s="240"/>
      <c r="F22" s="31">
        <f>SUM(F14:F21)</f>
        <v>0</v>
      </c>
      <c r="G22" s="241" t="s">
        <v>582</v>
      </c>
      <c r="H22" s="240"/>
      <c r="I22" s="31">
        <f>ROUND(C22*(6/100),2)</f>
        <v>0</v>
      </c>
      <c r="J22" s="12"/>
    </row>
    <row r="23" spans="1:10" ht="15" customHeight="1">
      <c r="A23" s="1"/>
      <c r="B23" s="1"/>
      <c r="C23" s="29"/>
      <c r="D23" s="239" t="s">
        <v>557</v>
      </c>
      <c r="E23" s="240"/>
      <c r="F23" s="33">
        <v>0</v>
      </c>
      <c r="G23" s="239" t="s">
        <v>569</v>
      </c>
      <c r="H23" s="240"/>
      <c r="I23" s="31">
        <v>0</v>
      </c>
      <c r="J23" s="12"/>
    </row>
    <row r="24" spans="4:10" ht="15" customHeight="1">
      <c r="D24" s="1"/>
      <c r="E24" s="1"/>
      <c r="F24" s="34"/>
      <c r="G24" s="239" t="s">
        <v>570</v>
      </c>
      <c r="H24" s="240"/>
      <c r="I24" s="31">
        <v>0</v>
      </c>
      <c r="J24" s="12"/>
    </row>
    <row r="25" spans="6:10" ht="15" customHeight="1">
      <c r="F25" s="21"/>
      <c r="G25" s="239" t="s">
        <v>571</v>
      </c>
      <c r="H25" s="240"/>
      <c r="I25" s="31">
        <v>0</v>
      </c>
      <c r="J25" s="12"/>
    </row>
    <row r="26" spans="1:9" ht="12.75">
      <c r="A26" s="22"/>
      <c r="B26" s="22"/>
      <c r="C26" s="22"/>
      <c r="G26" s="1"/>
      <c r="H26" s="1"/>
      <c r="I26" s="1"/>
    </row>
    <row r="27" spans="1:9" ht="15" customHeight="1">
      <c r="A27" s="242" t="s">
        <v>544</v>
      </c>
      <c r="B27" s="243"/>
      <c r="C27" s="148">
        <f>SUM('Stavební rozpočet'!AJ12:AJ110)</f>
        <v>0</v>
      </c>
      <c r="D27" s="30"/>
      <c r="E27" s="22"/>
      <c r="F27" s="22"/>
      <c r="G27" s="22"/>
      <c r="H27" s="22"/>
      <c r="I27" s="22"/>
    </row>
    <row r="28" spans="1:10" ht="15" customHeight="1">
      <c r="A28" s="242" t="s">
        <v>545</v>
      </c>
      <c r="B28" s="243"/>
      <c r="C28" s="148">
        <f>SUM('Stavební rozpočet'!AK12:AK110)</f>
        <v>0</v>
      </c>
      <c r="D28" s="242" t="s">
        <v>558</v>
      </c>
      <c r="E28" s="243"/>
      <c r="F28" s="148">
        <f>ROUND(C28*(15/100),2)</f>
        <v>0</v>
      </c>
      <c r="G28" s="242" t="s">
        <v>572</v>
      </c>
      <c r="H28" s="243"/>
      <c r="I28" s="148">
        <f>SUM(C27:C29)</f>
        <v>0</v>
      </c>
      <c r="J28" s="12"/>
    </row>
    <row r="29" spans="1:10" ht="15" customHeight="1">
      <c r="A29" s="242" t="s">
        <v>546</v>
      </c>
      <c r="B29" s="243"/>
      <c r="C29" s="148">
        <f>SUM('Stavební rozpočet'!AL12:AL110)+(F22+I22+F23+I23+I24+I25)</f>
        <v>0</v>
      </c>
      <c r="D29" s="242" t="s">
        <v>559</v>
      </c>
      <c r="E29" s="243"/>
      <c r="F29" s="148">
        <f>ROUND(C29*(21/100),2)</f>
        <v>0</v>
      </c>
      <c r="G29" s="242" t="s">
        <v>573</v>
      </c>
      <c r="H29" s="243"/>
      <c r="I29" s="148">
        <f>SUM(F28:F29)+I28</f>
        <v>0</v>
      </c>
      <c r="J29" s="12"/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25"/>
    </row>
    <row r="31" spans="1:10" ht="14.25" customHeight="1">
      <c r="A31" s="244" t="s">
        <v>547</v>
      </c>
      <c r="B31" s="245"/>
      <c r="C31" s="246"/>
      <c r="D31" s="244" t="s">
        <v>560</v>
      </c>
      <c r="E31" s="245"/>
      <c r="F31" s="246"/>
      <c r="G31" s="244" t="s">
        <v>574</v>
      </c>
      <c r="H31" s="245"/>
      <c r="I31" s="246"/>
      <c r="J31" s="13"/>
    </row>
    <row r="32" spans="1:10" ht="14.25" customHeight="1">
      <c r="A32" s="247"/>
      <c r="B32" s="248"/>
      <c r="C32" s="249"/>
      <c r="D32" s="247"/>
      <c r="E32" s="248"/>
      <c r="F32" s="249"/>
      <c r="G32" s="247"/>
      <c r="H32" s="248"/>
      <c r="I32" s="249"/>
      <c r="J32" s="13"/>
    </row>
    <row r="33" spans="1:10" ht="14.25" customHeight="1">
      <c r="A33" s="247"/>
      <c r="B33" s="248"/>
      <c r="C33" s="249"/>
      <c r="D33" s="247"/>
      <c r="E33" s="248"/>
      <c r="F33" s="249"/>
      <c r="G33" s="247"/>
      <c r="H33" s="248"/>
      <c r="I33" s="249"/>
      <c r="J33" s="13"/>
    </row>
    <row r="34" spans="1:10" ht="14.25" customHeight="1">
      <c r="A34" s="247"/>
      <c r="B34" s="248"/>
      <c r="C34" s="249"/>
      <c r="D34" s="247"/>
      <c r="E34" s="248"/>
      <c r="F34" s="249"/>
      <c r="G34" s="247"/>
      <c r="H34" s="248"/>
      <c r="I34" s="249"/>
      <c r="J34" s="13"/>
    </row>
    <row r="35" spans="1:10" ht="14.25" customHeight="1">
      <c r="A35" s="250" t="s">
        <v>548</v>
      </c>
      <c r="B35" s="251"/>
      <c r="C35" s="252"/>
      <c r="D35" s="250" t="s">
        <v>548</v>
      </c>
      <c r="E35" s="251"/>
      <c r="F35" s="252"/>
      <c r="G35" s="250" t="s">
        <v>548</v>
      </c>
      <c r="H35" s="251"/>
      <c r="I35" s="252"/>
      <c r="J35" s="13"/>
    </row>
    <row r="36" spans="1:9" ht="11.25" customHeight="1">
      <c r="A36" s="26" t="s">
        <v>87</v>
      </c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176"/>
      <c r="B37" s="168"/>
      <c r="C37" s="168"/>
      <c r="D37" s="168"/>
      <c r="E37" s="168"/>
      <c r="F37" s="168"/>
      <c r="G37" s="168"/>
      <c r="H37" s="168"/>
      <c r="I37" s="168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Špačková Štěpánka</cp:lastModifiedBy>
  <cp:lastPrinted>2021-10-07T13:04:18Z</cp:lastPrinted>
  <dcterms:modified xsi:type="dcterms:W3CDTF">2022-03-24T07:33:20Z</dcterms:modified>
  <cp:category/>
  <cp:version/>
  <cp:contentType/>
  <cp:contentStatus/>
</cp:coreProperties>
</file>