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70" windowHeight="11040" tabRatio="765" activeTab="3"/>
  </bookViews>
  <sheets>
    <sheet name="Investice a úspory" sheetId="22" r:id="rId1"/>
    <sheet name="Modelová nabídka" sheetId="23" r:id="rId2"/>
    <sheet name="Cenová příloha" sheetId="24" r:id="rId3"/>
    <sheet name="REFERENČNÍ ÚDAJE" sheetId="25" r:id="rId4"/>
    <sheet name="Spotřeby 2019-2022" sheetId="1" r:id="rId5"/>
    <sheet name="01_ZŠ Březová" sheetId="2" r:id="rId6"/>
    <sheet name="02_ZŠ Na Pěšině" sheetId="4" r:id="rId7"/>
    <sheet name="03_ZŠ Školní" sheetId="3" r:id="rId8"/>
    <sheet name="04_MŠ Školní" sheetId="5" r:id="rId9"/>
    <sheet name="05_ZŠ Kosmonautů" sheetId="6" r:id="rId10"/>
    <sheet name="06_MŠ Kosmonautů" sheetId="7" r:id="rId11"/>
    <sheet name="07_ŠJ Sládkova" sheetId="8" r:id="rId12"/>
    <sheet name="08_Městské divadlo" sheetId="9" r:id="rId13"/>
    <sheet name="09_ZŠ Vojanova" sheetId="10" r:id="rId14"/>
    <sheet name="10_MŠ Riegrova" sheetId="11" r:id="rId15"/>
    <sheet name="11_ZŠ Míru" sheetId="12" r:id="rId16"/>
    <sheet name="12_Knihovna" sheetId="13" r:id="rId17"/>
    <sheet name="13_Kino" sheetId="14" r:id="rId18"/>
    <sheet name="14_Magistrát B1+B2" sheetId="15" r:id="rId19"/>
    <sheet name="15_Zimní stadion" sheetId="16" r:id="rId20"/>
    <sheet name="16_Aquapark" sheetId="17" r:id="rId21"/>
    <sheet name="Teplo 2017-2018" sheetId="21" r:id="rId22"/>
  </sheets>
  <externalReferences>
    <externalReference r:id="rId23"/>
  </externalReferences>
  <definedNames>
    <definedName name="a">#REF!</definedName>
    <definedName name="aba">#REF!</definedName>
    <definedName name="budovy">#REF!</definedName>
    <definedName name="cin">#REF!</definedName>
    <definedName name="_xlnm.Database">'[1]NCABR-D-2001'!$A$1:$O$246</definedName>
    <definedName name="ene">#REF!</definedName>
    <definedName name="h">#REF!</definedName>
    <definedName name="indexy">#REF!</definedName>
    <definedName name="kod">#REF!</definedName>
    <definedName name="konstrukce">#REF!</definedName>
    <definedName name="materialy">#REF!</definedName>
    <definedName name="navratnost">#REF!</definedName>
    <definedName name="opatření">#REF!</definedName>
    <definedName name="plo">#REF!</definedName>
    <definedName name="sez_bud">#REF!</definedName>
    <definedName name="souhrn_budov">#REF!</definedName>
    <definedName name="test">#REF!</definedName>
    <definedName name="typ">#REF!</definedName>
    <definedName name="značk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25" l="1"/>
  <c r="M28" i="25" l="1"/>
  <c r="O62" i="1"/>
  <c r="N62" i="1"/>
  <c r="AA36" i="16"/>
  <c r="Z36" i="16"/>
  <c r="Y36" i="16"/>
  <c r="X36" i="16"/>
  <c r="W36" i="16"/>
  <c r="Y46" i="25" l="1"/>
  <c r="S4" i="16"/>
  <c r="H60" i="1"/>
  <c r="H61" i="1"/>
  <c r="H62" i="1"/>
  <c r="J38" i="16"/>
  <c r="N38" i="16"/>
  <c r="R38" i="16"/>
  <c r="Z49" i="25"/>
  <c r="L16" i="17"/>
  <c r="K5" i="17"/>
  <c r="K6" i="17"/>
  <c r="K7" i="17"/>
  <c r="K8" i="17"/>
  <c r="K9" i="17"/>
  <c r="K10" i="17"/>
  <c r="K11" i="17"/>
  <c r="K12" i="17"/>
  <c r="K13" i="17"/>
  <c r="K14" i="17"/>
  <c r="K15" i="17"/>
  <c r="K4" i="17"/>
  <c r="X36" i="25"/>
  <c r="X38" i="25"/>
  <c r="X39" i="25"/>
  <c r="X40" i="25"/>
  <c r="X41" i="25"/>
  <c r="X42" i="25"/>
  <c r="X43" i="25"/>
  <c r="X44" i="25"/>
  <c r="X47" i="25"/>
  <c r="M18" i="16" l="1"/>
  <c r="O18" i="16"/>
  <c r="Q18" i="16"/>
  <c r="Z36" i="25" l="1"/>
  <c r="Z38" i="25"/>
  <c r="Z39" i="25"/>
  <c r="Z40" i="25"/>
  <c r="Z41" i="25"/>
  <c r="Z42" i="25"/>
  <c r="Z43" i="25"/>
  <c r="Z44" i="25"/>
  <c r="Z47" i="25"/>
  <c r="Y47" i="25"/>
  <c r="Y44" i="25"/>
  <c r="Y43" i="25"/>
  <c r="Y42" i="25"/>
  <c r="Y41" i="25"/>
  <c r="Y40" i="25"/>
  <c r="Y39" i="25"/>
  <c r="Y38" i="25"/>
  <c r="Y36" i="25"/>
  <c r="C36" i="23" l="1"/>
  <c r="C31" i="23"/>
  <c r="B18" i="23"/>
  <c r="D13" i="23"/>
  <c r="M13" i="23" s="1"/>
  <c r="D8" i="23"/>
  <c r="N75" i="22"/>
  <c r="N74" i="22"/>
  <c r="M73" i="22"/>
  <c r="M74" i="22"/>
  <c r="S29" i="25"/>
  <c r="R29" i="25" s="1"/>
  <c r="Q29" i="25"/>
  <c r="M29" i="25"/>
  <c r="R14" i="25"/>
  <c r="R15" i="25"/>
  <c r="R16" i="25"/>
  <c r="R17" i="25"/>
  <c r="R18" i="25"/>
  <c r="R20" i="25"/>
  <c r="R21" i="25"/>
  <c r="R22" i="25"/>
  <c r="R23" i="25"/>
  <c r="R24" i="25"/>
  <c r="R25" i="25"/>
  <c r="R26" i="25"/>
  <c r="R27" i="25"/>
  <c r="R28" i="25"/>
  <c r="R19" i="25"/>
  <c r="G32" i="25"/>
  <c r="K32" i="25"/>
  <c r="O32" i="25"/>
  <c r="S32" i="25"/>
  <c r="Q30" i="25"/>
  <c r="O35" i="25"/>
  <c r="O36" i="25" s="1"/>
  <c r="O37" i="25" s="1"/>
  <c r="O38" i="25" s="1"/>
  <c r="O39" i="25" s="1"/>
  <c r="O40" i="25" s="1"/>
  <c r="O41" i="25" s="1"/>
  <c r="O42" i="25" s="1"/>
  <c r="O43" i="25" s="1"/>
  <c r="O44" i="25" s="1"/>
  <c r="O45" i="25" s="1"/>
  <c r="O46" i="25" s="1"/>
  <c r="O47" i="25" s="1"/>
  <c r="O48" i="25" s="1"/>
  <c r="O49" i="25" s="1"/>
  <c r="O29" i="25" s="1"/>
  <c r="N29" i="25" s="1"/>
  <c r="K35" i="25"/>
  <c r="G35" i="25"/>
  <c r="G36" i="25" s="1"/>
  <c r="G37" i="25" s="1"/>
  <c r="G38" i="25" s="1"/>
  <c r="G39" i="25" s="1"/>
  <c r="G40" i="25" s="1"/>
  <c r="G41" i="25" s="1"/>
  <c r="E71" i="25"/>
  <c r="D71" i="25" s="1"/>
  <c r="F70" i="25"/>
  <c r="F69" i="25"/>
  <c r="F68" i="25"/>
  <c r="F67" i="25"/>
  <c r="F66" i="25"/>
  <c r="G66" i="25" s="1"/>
  <c r="F65" i="25"/>
  <c r="G65" i="25" s="1"/>
  <c r="G64" i="25"/>
  <c r="F64" i="25"/>
  <c r="F63" i="25"/>
  <c r="F62" i="25"/>
  <c r="F61" i="25"/>
  <c r="F60" i="25"/>
  <c r="F59" i="25"/>
  <c r="B34" i="25"/>
  <c r="C29" i="25"/>
  <c r="C49" i="25" s="1"/>
  <c r="C28" i="25"/>
  <c r="C48" i="25" s="1"/>
  <c r="C27" i="25"/>
  <c r="C47" i="25" s="1"/>
  <c r="C26" i="25"/>
  <c r="C46" i="25" s="1"/>
  <c r="C25" i="25"/>
  <c r="C45" i="25" s="1"/>
  <c r="C24" i="25"/>
  <c r="C44" i="25" s="1"/>
  <c r="C23" i="25"/>
  <c r="C43" i="25" s="1"/>
  <c r="C22" i="25"/>
  <c r="C42" i="25" s="1"/>
  <c r="C21" i="25"/>
  <c r="C41" i="25" s="1"/>
  <c r="C20" i="25"/>
  <c r="C40" i="25" s="1"/>
  <c r="C19" i="25"/>
  <c r="C39" i="25" s="1"/>
  <c r="C18" i="25"/>
  <c r="C38" i="25" s="1"/>
  <c r="C17" i="25"/>
  <c r="C37" i="25" s="1"/>
  <c r="C16" i="25"/>
  <c r="C36" i="25" s="1"/>
  <c r="C15" i="25"/>
  <c r="C35" i="25" s="1"/>
  <c r="B15" i="25"/>
  <c r="B35" i="25" s="1"/>
  <c r="C14" i="25"/>
  <c r="C34" i="25" s="1"/>
  <c r="H29" i="24"/>
  <c r="P46" i="23"/>
  <c r="I21" i="24" s="1"/>
  <c r="P45" i="23"/>
  <c r="I20" i="24" s="1"/>
  <c r="O44" i="23"/>
  <c r="O47" i="23" s="1"/>
  <c r="N44" i="23"/>
  <c r="N47" i="23" s="1"/>
  <c r="M44" i="23"/>
  <c r="M47" i="23" s="1"/>
  <c r="L44" i="23"/>
  <c r="L47" i="23" s="1"/>
  <c r="K44" i="23"/>
  <c r="K47" i="23" s="1"/>
  <c r="J44" i="23"/>
  <c r="J47" i="23" s="1"/>
  <c r="I44" i="23"/>
  <c r="I47" i="23" s="1"/>
  <c r="H44" i="23"/>
  <c r="H47" i="23" s="1"/>
  <c r="G44" i="23"/>
  <c r="G47" i="23" s="1"/>
  <c r="F44" i="23"/>
  <c r="F47" i="23" s="1"/>
  <c r="E44" i="23"/>
  <c r="E47" i="23" s="1"/>
  <c r="P43" i="23"/>
  <c r="I15" i="24" s="1"/>
  <c r="P42" i="23"/>
  <c r="P37" i="23"/>
  <c r="P36" i="23"/>
  <c r="P35" i="23"/>
  <c r="P34" i="23"/>
  <c r="P33" i="23"/>
  <c r="P32" i="23"/>
  <c r="P31" i="23"/>
  <c r="P30" i="23"/>
  <c r="P29" i="23"/>
  <c r="C29" i="23"/>
  <c r="C30" i="23" s="1"/>
  <c r="C32" i="23" s="1"/>
  <c r="C33" i="23" s="1"/>
  <c r="C34" i="23" s="1"/>
  <c r="C35" i="23" s="1"/>
  <c r="C37" i="23" s="1"/>
  <c r="C42" i="23" s="1"/>
  <c r="O26" i="23"/>
  <c r="N26" i="23"/>
  <c r="M26" i="23"/>
  <c r="L26" i="23"/>
  <c r="K26" i="23"/>
  <c r="J26" i="23"/>
  <c r="I26" i="23"/>
  <c r="H26" i="23"/>
  <c r="G26" i="23"/>
  <c r="F26" i="23"/>
  <c r="P25" i="23"/>
  <c r="B25" i="23"/>
  <c r="B37" i="23" s="1"/>
  <c r="P24" i="23"/>
  <c r="B24" i="23"/>
  <c r="B36" i="23" s="1"/>
  <c r="P23" i="23"/>
  <c r="B23" i="23"/>
  <c r="B35" i="23" s="1"/>
  <c r="P22" i="23"/>
  <c r="B22" i="23"/>
  <c r="B34" i="23" s="1"/>
  <c r="P21" i="23"/>
  <c r="C21" i="23"/>
  <c r="B21" i="23"/>
  <c r="B33" i="23" s="1"/>
  <c r="P20" i="23"/>
  <c r="B20" i="23"/>
  <c r="B32" i="23" s="1"/>
  <c r="P19" i="23"/>
  <c r="B19" i="23"/>
  <c r="B31" i="23" s="1"/>
  <c r="P18" i="23"/>
  <c r="B30" i="23"/>
  <c r="P17" i="23"/>
  <c r="C17" i="23"/>
  <c r="B17" i="23"/>
  <c r="B29" i="23" s="1"/>
  <c r="M98" i="22"/>
  <c r="J98" i="22"/>
  <c r="I98" i="22"/>
  <c r="H98" i="22"/>
  <c r="G98" i="22"/>
  <c r="F98" i="22"/>
  <c r="D98" i="22" s="1"/>
  <c r="M97" i="22"/>
  <c r="D97" i="22"/>
  <c r="M96" i="22"/>
  <c r="D96" i="22"/>
  <c r="M95" i="22"/>
  <c r="D95" i="22"/>
  <c r="M94" i="22"/>
  <c r="D94" i="22"/>
  <c r="M93" i="22"/>
  <c r="D93" i="22"/>
  <c r="M92" i="22"/>
  <c r="D92" i="22"/>
  <c r="M91" i="22"/>
  <c r="D91" i="22"/>
  <c r="M90" i="22"/>
  <c r="D90" i="22"/>
  <c r="M89" i="22"/>
  <c r="D89" i="22"/>
  <c r="M88" i="22"/>
  <c r="D88" i="22"/>
  <c r="M87" i="22"/>
  <c r="D87" i="22"/>
  <c r="M86" i="22"/>
  <c r="D86" i="22"/>
  <c r="M85" i="22"/>
  <c r="D85" i="22"/>
  <c r="M84" i="22"/>
  <c r="D84" i="22"/>
  <c r="M83" i="22"/>
  <c r="D83" i="22"/>
  <c r="M82" i="22"/>
  <c r="D82" i="22"/>
  <c r="I80" i="22"/>
  <c r="H80" i="22"/>
  <c r="G80" i="22"/>
  <c r="F80" i="22"/>
  <c r="I75" i="22"/>
  <c r="H75" i="22"/>
  <c r="G75" i="22"/>
  <c r="F75" i="22"/>
  <c r="Z52" i="22"/>
  <c r="Y52" i="22"/>
  <c r="X52" i="22"/>
  <c r="W52" i="22"/>
  <c r="V52" i="22"/>
  <c r="U52" i="22"/>
  <c r="T52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D51" i="22"/>
  <c r="C51" i="22"/>
  <c r="C74" i="22" s="1"/>
  <c r="C97" i="22" s="1"/>
  <c r="B51" i="22"/>
  <c r="B74" i="22" s="1"/>
  <c r="B97" i="22" s="1"/>
  <c r="D50" i="22"/>
  <c r="C50" i="22"/>
  <c r="C73" i="22" s="1"/>
  <c r="C96" i="22" s="1"/>
  <c r="B50" i="22"/>
  <c r="B73" i="22" s="1"/>
  <c r="B96" i="22" s="1"/>
  <c r="D49" i="22"/>
  <c r="L95" i="22" s="1"/>
  <c r="C49" i="22"/>
  <c r="C72" i="22" s="1"/>
  <c r="C95" i="22" s="1"/>
  <c r="B49" i="22"/>
  <c r="B72" i="22" s="1"/>
  <c r="B95" i="22" s="1"/>
  <c r="D48" i="22"/>
  <c r="L94" i="22" s="1"/>
  <c r="C48" i="22"/>
  <c r="C71" i="22" s="1"/>
  <c r="C94" i="22" s="1"/>
  <c r="B48" i="22"/>
  <c r="B71" i="22" s="1"/>
  <c r="B94" i="22" s="1"/>
  <c r="D47" i="22"/>
  <c r="C47" i="22"/>
  <c r="C70" i="22" s="1"/>
  <c r="C93" i="22" s="1"/>
  <c r="B47" i="22"/>
  <c r="B70" i="22" s="1"/>
  <c r="B93" i="22" s="1"/>
  <c r="D46" i="22"/>
  <c r="C46" i="22"/>
  <c r="C69" i="22" s="1"/>
  <c r="C92" i="22" s="1"/>
  <c r="B46" i="22"/>
  <c r="B69" i="22" s="1"/>
  <c r="B92" i="22" s="1"/>
  <c r="D45" i="22"/>
  <c r="L91" i="22" s="1"/>
  <c r="C45" i="22"/>
  <c r="C68" i="22" s="1"/>
  <c r="C91" i="22" s="1"/>
  <c r="B45" i="22"/>
  <c r="B68" i="22" s="1"/>
  <c r="B91" i="22" s="1"/>
  <c r="D44" i="22"/>
  <c r="C44" i="22"/>
  <c r="C67" i="22" s="1"/>
  <c r="C90" i="22" s="1"/>
  <c r="B44" i="22"/>
  <c r="B67" i="22" s="1"/>
  <c r="B90" i="22" s="1"/>
  <c r="D43" i="22"/>
  <c r="C43" i="22"/>
  <c r="C66" i="22" s="1"/>
  <c r="C89" i="22" s="1"/>
  <c r="B43" i="22"/>
  <c r="B66" i="22" s="1"/>
  <c r="B89" i="22" s="1"/>
  <c r="D42" i="22"/>
  <c r="C42" i="22"/>
  <c r="C65" i="22" s="1"/>
  <c r="C88" i="22" s="1"/>
  <c r="B42" i="22"/>
  <c r="B65" i="22" s="1"/>
  <c r="B88" i="22" s="1"/>
  <c r="D41" i="22"/>
  <c r="L87" i="22" s="1"/>
  <c r="C41" i="22"/>
  <c r="C64" i="22" s="1"/>
  <c r="C87" i="22" s="1"/>
  <c r="B41" i="22"/>
  <c r="B64" i="22" s="1"/>
  <c r="B87" i="22" s="1"/>
  <c r="D40" i="22"/>
  <c r="C40" i="22"/>
  <c r="C63" i="22" s="1"/>
  <c r="C86" i="22" s="1"/>
  <c r="B40" i="22"/>
  <c r="B63" i="22" s="1"/>
  <c r="B86" i="22" s="1"/>
  <c r="D39" i="22"/>
  <c r="C39" i="22"/>
  <c r="C62" i="22" s="1"/>
  <c r="C85" i="22" s="1"/>
  <c r="B39" i="22"/>
  <c r="B62" i="22" s="1"/>
  <c r="B85" i="22" s="1"/>
  <c r="D38" i="22"/>
  <c r="C38" i="22"/>
  <c r="C61" i="22" s="1"/>
  <c r="C84" i="22" s="1"/>
  <c r="B38" i="22"/>
  <c r="B61" i="22" s="1"/>
  <c r="B84" i="22" s="1"/>
  <c r="D37" i="22"/>
  <c r="L83" i="22" s="1"/>
  <c r="C37" i="22"/>
  <c r="C60" i="22" s="1"/>
  <c r="C83" i="22" s="1"/>
  <c r="B37" i="22"/>
  <c r="B60" i="22" s="1"/>
  <c r="B83" i="22" s="1"/>
  <c r="D36" i="22"/>
  <c r="C36" i="22"/>
  <c r="C59" i="22" s="1"/>
  <c r="C82" i="22" s="1"/>
  <c r="B36" i="22"/>
  <c r="B59" i="22" s="1"/>
  <c r="B82" i="22" s="1"/>
  <c r="Y31" i="22"/>
  <c r="X31" i="22"/>
  <c r="W31" i="22"/>
  <c r="V31" i="22"/>
  <c r="U31" i="22"/>
  <c r="T31" i="22"/>
  <c r="S31" i="22"/>
  <c r="R31" i="22"/>
  <c r="Q31" i="22"/>
  <c r="P31" i="22"/>
  <c r="O31" i="22"/>
  <c r="N31" i="22"/>
  <c r="M31" i="22"/>
  <c r="L31" i="22"/>
  <c r="K31" i="22"/>
  <c r="J31" i="22"/>
  <c r="I31" i="22"/>
  <c r="H31" i="22"/>
  <c r="G31" i="22"/>
  <c r="F31" i="22"/>
  <c r="Y30" i="22"/>
  <c r="X30" i="22"/>
  <c r="W30" i="22"/>
  <c r="V30" i="22"/>
  <c r="U30" i="22"/>
  <c r="T30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Y25" i="22"/>
  <c r="X25" i="22"/>
  <c r="W25" i="22"/>
  <c r="V25" i="22"/>
  <c r="U25" i="22"/>
  <c r="T25" i="22"/>
  <c r="S25" i="22"/>
  <c r="R25" i="22"/>
  <c r="Q25" i="22"/>
  <c r="P25" i="22"/>
  <c r="O25" i="22"/>
  <c r="N25" i="22"/>
  <c r="M25" i="22"/>
  <c r="L25" i="22"/>
  <c r="K25" i="22"/>
  <c r="J25" i="22"/>
  <c r="I25" i="22"/>
  <c r="H25" i="22"/>
  <c r="G25" i="22"/>
  <c r="F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K36" i="25" l="1"/>
  <c r="S30" i="25"/>
  <c r="O28" i="25"/>
  <c r="N28" i="25" s="1"/>
  <c r="P26" i="23"/>
  <c r="L85" i="22"/>
  <c r="L89" i="22"/>
  <c r="L93" i="22"/>
  <c r="L97" i="22"/>
  <c r="D25" i="22"/>
  <c r="L82" i="22"/>
  <c r="L84" i="22"/>
  <c r="L86" i="22"/>
  <c r="L88" i="22"/>
  <c r="L90" i="22"/>
  <c r="L92" i="22"/>
  <c r="L96" i="22"/>
  <c r="F71" i="25"/>
  <c r="R30" i="25"/>
  <c r="F13" i="23"/>
  <c r="N13" i="23"/>
  <c r="G13" i="23"/>
  <c r="O13" i="23"/>
  <c r="K13" i="23"/>
  <c r="J13" i="23"/>
  <c r="G43" i="25"/>
  <c r="L98" i="22"/>
  <c r="D52" i="22"/>
  <c r="G70" i="25"/>
  <c r="G68" i="25"/>
  <c r="G62" i="25"/>
  <c r="G60" i="25"/>
  <c r="G63" i="25"/>
  <c r="G69" i="25"/>
  <c r="I22" i="24"/>
  <c r="C43" i="23"/>
  <c r="C45" i="23"/>
  <c r="C46" i="23" s="1"/>
  <c r="V42" i="23"/>
  <c r="G61" i="25"/>
  <c r="G67" i="25"/>
  <c r="H13" i="23"/>
  <c r="L13" i="23"/>
  <c r="I8" i="24"/>
  <c r="E13" i="23"/>
  <c r="E25" i="23" s="1"/>
  <c r="E37" i="23" s="1"/>
  <c r="I13" i="23"/>
  <c r="B16" i="25"/>
  <c r="G59" i="25"/>
  <c r="P44" i="23"/>
  <c r="P47" i="23" s="1"/>
  <c r="AO16" i="17"/>
  <c r="AL16" i="17"/>
  <c r="AI16" i="17"/>
  <c r="AD16" i="17"/>
  <c r="AA16" i="17"/>
  <c r="X16" i="17"/>
  <c r="K37" i="25" l="1"/>
  <c r="K49" i="25"/>
  <c r="D12" i="23"/>
  <c r="I101" i="22"/>
  <c r="G44" i="25"/>
  <c r="Q18" i="23"/>
  <c r="S18" i="23" s="1"/>
  <c r="P13" i="23"/>
  <c r="Q25" i="23" s="1"/>
  <c r="G71" i="25"/>
  <c r="I28" i="24"/>
  <c r="I9" i="24"/>
  <c r="I10" i="24" s="1"/>
  <c r="B36" i="25"/>
  <c r="B17" i="25"/>
  <c r="I23" i="24"/>
  <c r="I24" i="24" s="1"/>
  <c r="S16" i="17"/>
  <c r="P16" i="17"/>
  <c r="M16" i="17"/>
  <c r="K38" i="25" l="1"/>
  <c r="G45" i="25"/>
  <c r="B18" i="25"/>
  <c r="B37" i="25"/>
  <c r="I29" i="24"/>
  <c r="I30" i="24" s="1"/>
  <c r="BR16" i="10"/>
  <c r="K39" i="25" l="1"/>
  <c r="G46" i="25"/>
  <c r="B19" i="25"/>
  <c r="B38" i="25"/>
  <c r="F16" i="9"/>
  <c r="F15" i="9"/>
  <c r="F14" i="9"/>
  <c r="F13" i="9"/>
  <c r="F12" i="9"/>
  <c r="F11" i="9"/>
  <c r="F10" i="9"/>
  <c r="F9" i="9"/>
  <c r="F8" i="9"/>
  <c r="F7" i="9"/>
  <c r="F6" i="9"/>
  <c r="F5" i="9"/>
  <c r="K11" i="9"/>
  <c r="K10" i="9"/>
  <c r="K9" i="9"/>
  <c r="K8" i="9"/>
  <c r="K7" i="9"/>
  <c r="K6" i="9"/>
  <c r="K40" i="25" l="1"/>
  <c r="G47" i="25"/>
  <c r="B39" i="25"/>
  <c r="B20" i="25"/>
  <c r="V14" i="14"/>
  <c r="W16" i="14"/>
  <c r="V16" i="14"/>
  <c r="V10" i="14"/>
  <c r="V9" i="14"/>
  <c r="V8" i="14"/>
  <c r="V7" i="14"/>
  <c r="V6" i="14"/>
  <c r="V5" i="14"/>
  <c r="V4" i="14"/>
  <c r="U16" i="14"/>
  <c r="T15" i="14"/>
  <c r="T14" i="14"/>
  <c r="T13" i="14"/>
  <c r="T12" i="14"/>
  <c r="T11" i="14"/>
  <c r="T10" i="14"/>
  <c r="T9" i="14"/>
  <c r="T8" i="14"/>
  <c r="T7" i="14"/>
  <c r="T6" i="14"/>
  <c r="T4" i="14"/>
  <c r="K11" i="14"/>
  <c r="K10" i="14"/>
  <c r="K9" i="14"/>
  <c r="K8" i="14"/>
  <c r="K7" i="14"/>
  <c r="K6" i="14"/>
  <c r="K41" i="25" l="1"/>
  <c r="G48" i="25"/>
  <c r="B40" i="25"/>
  <c r="B21" i="25"/>
  <c r="AB10" i="8"/>
  <c r="AD11" i="8"/>
  <c r="K42" i="25" l="1"/>
  <c r="B22" i="25"/>
  <c r="B41" i="25"/>
  <c r="BQ16" i="10"/>
  <c r="BN16" i="10"/>
  <c r="BK4" i="10"/>
  <c r="K43" i="25" l="1"/>
  <c r="B23" i="25"/>
  <c r="B42" i="25"/>
  <c r="L16" i="10"/>
  <c r="K16" i="10"/>
  <c r="K44" i="25" l="1"/>
  <c r="B43" i="25"/>
  <c r="B24" i="25"/>
  <c r="K15" i="9"/>
  <c r="K14" i="9"/>
  <c r="K13" i="9"/>
  <c r="K12" i="9"/>
  <c r="AC16" i="6"/>
  <c r="AB16" i="6"/>
  <c r="W16" i="7"/>
  <c r="X16" i="7"/>
  <c r="Y16" i="7"/>
  <c r="Z16" i="7"/>
  <c r="AA16" i="7"/>
  <c r="AB16" i="7"/>
  <c r="AC16" i="7"/>
  <c r="AD16" i="7"/>
  <c r="AE16" i="7"/>
  <c r="V16" i="7"/>
  <c r="J16" i="7"/>
  <c r="I16" i="7"/>
  <c r="L30" i="1"/>
  <c r="L29" i="1"/>
  <c r="K7" i="2"/>
  <c r="AO7" i="8"/>
  <c r="K46" i="25" l="1"/>
  <c r="B44" i="25"/>
  <c r="B25" i="25"/>
  <c r="K15" i="14"/>
  <c r="K14" i="14"/>
  <c r="K13" i="14"/>
  <c r="K12" i="14"/>
  <c r="AE13" i="12"/>
  <c r="K47" i="25" l="1"/>
  <c r="B26" i="25"/>
  <c r="B45" i="25"/>
  <c r="AE16" i="9"/>
  <c r="AD16" i="9"/>
  <c r="B27" i="25" l="1"/>
  <c r="B46" i="25"/>
  <c r="M16" i="7"/>
  <c r="N16" i="7"/>
  <c r="B47" i="25" l="1"/>
  <c r="B28" i="25"/>
  <c r="H4" i="1"/>
  <c r="I4" i="1"/>
  <c r="H5" i="1"/>
  <c r="I5" i="1"/>
  <c r="B48" i="25" l="1"/>
  <c r="B29" i="25"/>
  <c r="B49" i="25" s="1"/>
  <c r="O66" i="1"/>
  <c r="N66" i="1"/>
  <c r="O58" i="1"/>
  <c r="N58" i="1"/>
  <c r="M27" i="25" s="1"/>
  <c r="O50" i="1"/>
  <c r="N50" i="1"/>
  <c r="M25" i="25" s="1"/>
  <c r="O42" i="1"/>
  <c r="N42" i="1"/>
  <c r="O38" i="1"/>
  <c r="N38" i="1"/>
  <c r="M22" i="25" s="1"/>
  <c r="O33" i="1"/>
  <c r="O34" i="1"/>
  <c r="N34" i="1"/>
  <c r="M21" i="25" s="1"/>
  <c r="O18" i="1"/>
  <c r="N18" i="1"/>
  <c r="M17" i="25" s="1"/>
  <c r="O14" i="1"/>
  <c r="N14" i="1"/>
  <c r="M16" i="25" s="1"/>
  <c r="O10" i="1"/>
  <c r="P10" i="1" s="1"/>
  <c r="N10" i="1"/>
  <c r="M15" i="25" s="1"/>
  <c r="F62" i="1"/>
  <c r="E58" i="1"/>
  <c r="F58" i="1"/>
  <c r="E54" i="1"/>
  <c r="D54" i="1" s="1"/>
  <c r="E26" i="25" s="1"/>
  <c r="F54" i="1"/>
  <c r="E50" i="1"/>
  <c r="D50" i="1" s="1"/>
  <c r="E25" i="25" s="1"/>
  <c r="F50" i="1"/>
  <c r="F46" i="1"/>
  <c r="E42" i="1"/>
  <c r="D42" i="1" s="1"/>
  <c r="E23" i="25" s="1"/>
  <c r="F42" i="1"/>
  <c r="F38" i="1"/>
  <c r="E34" i="1"/>
  <c r="D34" i="1" s="1"/>
  <c r="F34" i="1"/>
  <c r="E30" i="1"/>
  <c r="D30" i="1" s="1"/>
  <c r="E20" i="25" s="1"/>
  <c r="F30" i="1"/>
  <c r="E26" i="1"/>
  <c r="D26" i="1" s="1"/>
  <c r="E19" i="25" s="1"/>
  <c r="F26" i="1"/>
  <c r="E22" i="1"/>
  <c r="D22" i="1" s="1"/>
  <c r="E18" i="25" s="1"/>
  <c r="F22" i="1"/>
  <c r="F18" i="1"/>
  <c r="D58" i="1"/>
  <c r="F14" i="1"/>
  <c r="E10" i="1"/>
  <c r="D10" i="1" s="1"/>
  <c r="E15" i="25" s="1"/>
  <c r="F10" i="1"/>
  <c r="G10" i="1" s="1"/>
  <c r="E6" i="1"/>
  <c r="D6" i="1" s="1"/>
  <c r="E14" i="25" s="1"/>
  <c r="F6" i="1"/>
  <c r="G6" i="1" s="1"/>
  <c r="K42" i="1"/>
  <c r="L42" i="1"/>
  <c r="K18" i="1"/>
  <c r="L18" i="1"/>
  <c r="M18" i="1" s="1"/>
  <c r="K14" i="1"/>
  <c r="L14" i="1"/>
  <c r="L6" i="1"/>
  <c r="K6" i="1"/>
  <c r="M6" i="1" s="1"/>
  <c r="I28" i="25"/>
  <c r="I62" i="1"/>
  <c r="J62" i="1" s="1"/>
  <c r="Y48" i="25" s="1"/>
  <c r="H58" i="1"/>
  <c r="I58" i="1"/>
  <c r="I50" i="1"/>
  <c r="H42" i="1"/>
  <c r="I23" i="25" s="1"/>
  <c r="I42" i="1"/>
  <c r="J42" i="1" s="1"/>
  <c r="I14" i="1"/>
  <c r="H14" i="1"/>
  <c r="H10" i="1"/>
  <c r="I15" i="25" s="1"/>
  <c r="Z48" i="25" l="1"/>
  <c r="X48" i="25"/>
  <c r="G22" i="1"/>
  <c r="K63" i="22"/>
  <c r="G18" i="25"/>
  <c r="M66" i="22"/>
  <c r="O21" i="25"/>
  <c r="N21" i="25" s="1"/>
  <c r="K23" i="25"/>
  <c r="J23" i="25" s="1"/>
  <c r="L68" i="22"/>
  <c r="G34" i="1"/>
  <c r="E21" i="25"/>
  <c r="J58" i="1"/>
  <c r="I27" i="25"/>
  <c r="M72" i="22"/>
  <c r="O27" i="25"/>
  <c r="N27" i="25" s="1"/>
  <c r="G58" i="1"/>
  <c r="E27" i="25"/>
  <c r="K70" i="22"/>
  <c r="G25" i="25"/>
  <c r="M62" i="22"/>
  <c r="O17" i="25"/>
  <c r="N17" i="25" s="1"/>
  <c r="K64" i="22"/>
  <c r="G19" i="25"/>
  <c r="K71" i="22"/>
  <c r="G26" i="25"/>
  <c r="M61" i="22"/>
  <c r="O16" i="25"/>
  <c r="N16" i="25" s="1"/>
  <c r="J14" i="1"/>
  <c r="I16" i="25"/>
  <c r="G14" i="25"/>
  <c r="K59" i="22"/>
  <c r="M60" i="22"/>
  <c r="O15" i="25"/>
  <c r="N15" i="25" s="1"/>
  <c r="K65" i="22"/>
  <c r="G20" i="25"/>
  <c r="L60" i="22"/>
  <c r="K15" i="25"/>
  <c r="J15" i="25" s="1"/>
  <c r="L73" i="22"/>
  <c r="K28" i="25"/>
  <c r="J28" i="25" s="1"/>
  <c r="M14" i="1"/>
  <c r="K60" i="22"/>
  <c r="G15" i="25"/>
  <c r="K68" i="22"/>
  <c r="G23" i="25"/>
  <c r="P18" i="1"/>
  <c r="M67" i="22"/>
  <c r="O22" i="25"/>
  <c r="N22" i="25" s="1"/>
  <c r="M70" i="22"/>
  <c r="O25" i="25"/>
  <c r="N25" i="25" s="1"/>
  <c r="G50" i="1"/>
  <c r="G54" i="1"/>
  <c r="G42" i="1"/>
  <c r="G30" i="1"/>
  <c r="G26" i="1"/>
  <c r="L37" i="15"/>
  <c r="K37" i="15"/>
  <c r="K15" i="15"/>
  <c r="K14" i="15"/>
  <c r="K13" i="15"/>
  <c r="K12" i="15"/>
  <c r="K11" i="15"/>
  <c r="K10" i="15"/>
  <c r="K9" i="15"/>
  <c r="K8" i="15"/>
  <c r="K7" i="15"/>
  <c r="L6" i="15"/>
  <c r="K6" i="15"/>
  <c r="K5" i="15"/>
  <c r="K4" i="15"/>
  <c r="DL4" i="12"/>
  <c r="DA9" i="12"/>
  <c r="CX9" i="12"/>
  <c r="CP9" i="12"/>
  <c r="CE9" i="12"/>
  <c r="CE4" i="12"/>
  <c r="CH27" i="12"/>
  <c r="BT4" i="12"/>
  <c r="AG15" i="12"/>
  <c r="AG14" i="12"/>
  <c r="AG13" i="12"/>
  <c r="AG12" i="12"/>
  <c r="AG11" i="12"/>
  <c r="AG10" i="12"/>
  <c r="AG9" i="12"/>
  <c r="AG8" i="12"/>
  <c r="AH7" i="12"/>
  <c r="AG7" i="12"/>
  <c r="AG6" i="12"/>
  <c r="AG5" i="12"/>
  <c r="AG4" i="12"/>
  <c r="BF4" i="11"/>
  <c r="Y15" i="25" l="1"/>
  <c r="F15" i="25"/>
  <c r="X15" i="25" s="1"/>
  <c r="F19" i="25"/>
  <c r="F25" i="25"/>
  <c r="F18" i="25"/>
  <c r="F23" i="25"/>
  <c r="L61" i="22"/>
  <c r="K16" i="25"/>
  <c r="J16" i="25" s="1"/>
  <c r="F26" i="25"/>
  <c r="K72" i="22"/>
  <c r="G27" i="25"/>
  <c r="L72" i="22"/>
  <c r="K27" i="25"/>
  <c r="J27" i="25" s="1"/>
  <c r="K66" i="22"/>
  <c r="G21" i="25"/>
  <c r="F20" i="25"/>
  <c r="F14" i="25"/>
  <c r="E20" i="16"/>
  <c r="E21" i="16"/>
  <c r="E22" i="16"/>
  <c r="D21" i="16"/>
  <c r="D22" i="16"/>
  <c r="D23" i="16"/>
  <c r="D24" i="16"/>
  <c r="D25" i="16"/>
  <c r="D26" i="16"/>
  <c r="D27" i="16"/>
  <c r="D28" i="16"/>
  <c r="D29" i="16"/>
  <c r="D30" i="16"/>
  <c r="D31" i="16"/>
  <c r="D20" i="16"/>
  <c r="C21" i="16"/>
  <c r="C22" i="16"/>
  <c r="C23" i="16"/>
  <c r="C24" i="16"/>
  <c r="C25" i="16"/>
  <c r="C26" i="16"/>
  <c r="C27" i="16"/>
  <c r="C28" i="16"/>
  <c r="C29" i="16"/>
  <c r="C30" i="16"/>
  <c r="C31" i="16"/>
  <c r="C20" i="16"/>
  <c r="K5" i="14"/>
  <c r="K4" i="14"/>
  <c r="J16" i="14"/>
  <c r="I16" i="14"/>
  <c r="I15" i="14"/>
  <c r="I14" i="14"/>
  <c r="I13" i="14"/>
  <c r="I12" i="14"/>
  <c r="I11" i="14"/>
  <c r="I10" i="14"/>
  <c r="I9" i="14"/>
  <c r="I8" i="14"/>
  <c r="I7" i="14"/>
  <c r="I6" i="14"/>
  <c r="I5" i="14"/>
  <c r="I4" i="14"/>
  <c r="F15" i="14"/>
  <c r="F14" i="14"/>
  <c r="F13" i="14"/>
  <c r="F11" i="14"/>
  <c r="F10" i="14"/>
  <c r="F9" i="14"/>
  <c r="F8" i="14"/>
  <c r="F7" i="14"/>
  <c r="F6" i="14"/>
  <c r="F5" i="14"/>
  <c r="F4" i="14"/>
  <c r="F21" i="25" l="1"/>
  <c r="F27" i="25"/>
  <c r="X27" i="25" s="1"/>
  <c r="Y27" i="25"/>
  <c r="AC16" i="10"/>
  <c r="AD16" i="10"/>
  <c r="AE16" i="10"/>
  <c r="AF16" i="10"/>
  <c r="AB16" i="10"/>
  <c r="K13" i="10"/>
  <c r="AC16" i="9" l="1"/>
  <c r="AB16" i="9"/>
  <c r="Z4" i="9"/>
  <c r="Y4" i="9"/>
  <c r="T16" i="9" l="1"/>
  <c r="S16" i="9"/>
  <c r="K5" i="9"/>
  <c r="K4" i="9"/>
  <c r="I15" i="9"/>
  <c r="I14" i="9"/>
  <c r="I13" i="9"/>
  <c r="I12" i="9"/>
  <c r="I11" i="9"/>
  <c r="J10" i="9"/>
  <c r="I10" i="9"/>
  <c r="I9" i="9"/>
  <c r="I8" i="9"/>
  <c r="I7" i="9"/>
  <c r="I6" i="9"/>
  <c r="I5" i="9"/>
  <c r="I4" i="9"/>
  <c r="F4" i="9"/>
  <c r="BU4" i="5"/>
  <c r="BT4" i="5"/>
  <c r="BL4" i="5"/>
  <c r="BK4" i="5"/>
  <c r="AN4" i="3" l="1"/>
  <c r="AM4" i="3"/>
  <c r="K16" i="3" l="1"/>
  <c r="L16" i="3"/>
  <c r="BW16" i="2" l="1"/>
  <c r="BV16" i="2"/>
  <c r="BL16" i="2"/>
  <c r="BK16" i="2"/>
  <c r="AE16" i="2"/>
  <c r="AD16" i="2"/>
  <c r="L16" i="2"/>
  <c r="K16" i="2"/>
  <c r="K15" i="2"/>
  <c r="K14" i="2"/>
  <c r="K13" i="2"/>
  <c r="K12" i="2"/>
  <c r="K11" i="2"/>
  <c r="K10" i="2"/>
  <c r="K9" i="2"/>
  <c r="K8" i="2"/>
  <c r="K6" i="2"/>
  <c r="K5" i="2"/>
  <c r="K4" i="2"/>
  <c r="I15" i="2"/>
  <c r="AR16" i="17" l="1"/>
  <c r="AS16" i="17"/>
  <c r="K16" i="17"/>
  <c r="H66" i="1" s="1"/>
  <c r="I29" i="25" s="1"/>
  <c r="I66" i="1"/>
  <c r="S16" i="16"/>
  <c r="T16" i="16"/>
  <c r="K16" i="16"/>
  <c r="L16" i="16"/>
  <c r="AD37" i="15"/>
  <c r="AE37" i="15"/>
  <c r="AD16" i="15"/>
  <c r="AE16" i="15"/>
  <c r="S37" i="15"/>
  <c r="T37" i="15"/>
  <c r="S16" i="15"/>
  <c r="K16" i="15"/>
  <c r="L16" i="15"/>
  <c r="AO16" i="14"/>
  <c r="N54" i="1" s="1"/>
  <c r="M26" i="25" s="1"/>
  <c r="AP16" i="14"/>
  <c r="O54" i="1" s="1"/>
  <c r="AD16" i="14"/>
  <c r="AE16" i="14"/>
  <c r="K16" i="14"/>
  <c r="H54" i="1" s="1"/>
  <c r="I26" i="25" s="1"/>
  <c r="L16" i="14"/>
  <c r="I54" i="1" s="1"/>
  <c r="AD16" i="13"/>
  <c r="AE16" i="13"/>
  <c r="S16" i="13"/>
  <c r="T16" i="13"/>
  <c r="K16" i="13"/>
  <c r="H50" i="1" s="1"/>
  <c r="L16" i="13"/>
  <c r="EM16" i="12"/>
  <c r="EN16" i="12"/>
  <c r="EB16" i="12"/>
  <c r="EC16" i="12"/>
  <c r="DQ16" i="12"/>
  <c r="DR16" i="12"/>
  <c r="DF16" i="12"/>
  <c r="DG16" i="12"/>
  <c r="CJ16" i="12"/>
  <c r="CK16" i="12"/>
  <c r="BY16" i="12"/>
  <c r="BZ16" i="12"/>
  <c r="BN16" i="12"/>
  <c r="N46" i="1" s="1"/>
  <c r="M24" i="25" s="1"/>
  <c r="BO16" i="12"/>
  <c r="BC16" i="12"/>
  <c r="BD16" i="12"/>
  <c r="AR16" i="12"/>
  <c r="E46" i="1" s="1"/>
  <c r="D46" i="1" s="1"/>
  <c r="AS16" i="12"/>
  <c r="AG16" i="12"/>
  <c r="AH16" i="12"/>
  <c r="V16" i="12"/>
  <c r="W16" i="12"/>
  <c r="K16" i="12"/>
  <c r="H46" i="1" s="1"/>
  <c r="I24" i="25" s="1"/>
  <c r="L16" i="12"/>
  <c r="I46" i="1" s="1"/>
  <c r="K16" i="11"/>
  <c r="L16" i="11"/>
  <c r="I25" i="25" l="1"/>
  <c r="J50" i="1"/>
  <c r="S18" i="16"/>
  <c r="E62" i="1"/>
  <c r="D62" i="1" s="1"/>
  <c r="L69" i="22"/>
  <c r="K24" i="25"/>
  <c r="J24" i="25" s="1"/>
  <c r="G46" i="1"/>
  <c r="E24" i="25"/>
  <c r="L71" i="22"/>
  <c r="K26" i="25"/>
  <c r="M71" i="22"/>
  <c r="O26" i="25"/>
  <c r="N26" i="25" s="1"/>
  <c r="K29" i="25"/>
  <c r="L74" i="22"/>
  <c r="M69" i="22"/>
  <c r="O24" i="25"/>
  <c r="N24" i="25" s="1"/>
  <c r="O46" i="1"/>
  <c r="J54" i="1"/>
  <c r="J46" i="1"/>
  <c r="J66" i="1"/>
  <c r="Y49" i="25" s="1"/>
  <c r="V16" i="11"/>
  <c r="W16" i="11"/>
  <c r="AG16" i="11"/>
  <c r="AH16" i="11"/>
  <c r="AO16" i="11"/>
  <c r="AP16" i="11"/>
  <c r="AZ16" i="11"/>
  <c r="BA16" i="11"/>
  <c r="BK16" i="11"/>
  <c r="BL16" i="11"/>
  <c r="V16" i="10"/>
  <c r="W16" i="10"/>
  <c r="AG16" i="10"/>
  <c r="AH16" i="10"/>
  <c r="AR16" i="10"/>
  <c r="AS16" i="10"/>
  <c r="AZ16" i="10"/>
  <c r="E38" i="1" s="1"/>
  <c r="D38" i="1" s="1"/>
  <c r="BA16" i="10"/>
  <c r="BK16" i="10"/>
  <c r="BL16" i="10"/>
  <c r="BV16" i="10"/>
  <c r="BW16" i="10"/>
  <c r="CG16" i="10"/>
  <c r="CH16" i="10"/>
  <c r="DA16" i="10"/>
  <c r="DB16" i="10"/>
  <c r="I16" i="9"/>
  <c r="J16" i="9"/>
  <c r="L16" i="9"/>
  <c r="I34" i="1" s="1"/>
  <c r="K16" i="9"/>
  <c r="H34" i="1" s="1"/>
  <c r="I21" i="25" s="1"/>
  <c r="L16" i="8"/>
  <c r="I30" i="1" s="1"/>
  <c r="K16" i="8"/>
  <c r="H30" i="1" s="1"/>
  <c r="I20" i="25" s="1"/>
  <c r="T16" i="8"/>
  <c r="S16" i="8"/>
  <c r="AC16" i="8"/>
  <c r="AB16" i="8"/>
  <c r="AE16" i="8"/>
  <c r="AD16" i="8"/>
  <c r="K30" i="1" s="1"/>
  <c r="M30" i="1" s="1"/>
  <c r="AP16" i="8"/>
  <c r="O30" i="1" s="1"/>
  <c r="AO16" i="8"/>
  <c r="N30" i="1" s="1"/>
  <c r="M20" i="25" s="1"/>
  <c r="L16" i="7"/>
  <c r="I26" i="1" s="1"/>
  <c r="K16" i="7"/>
  <c r="H26" i="1" s="1"/>
  <c r="I19" i="25" s="1"/>
  <c r="T16" i="7"/>
  <c r="S16" i="7"/>
  <c r="O26" i="1"/>
  <c r="N26" i="1"/>
  <c r="M19" i="25" s="1"/>
  <c r="J16" i="6"/>
  <c r="I16" i="6"/>
  <c r="L16" i="6"/>
  <c r="I22" i="1" s="1"/>
  <c r="K16" i="6"/>
  <c r="H22" i="1" s="1"/>
  <c r="I18" i="25" s="1"/>
  <c r="AE16" i="6"/>
  <c r="O22" i="1" s="1"/>
  <c r="AD16" i="6"/>
  <c r="N22" i="1" s="1"/>
  <c r="M18" i="25" s="1"/>
  <c r="T16" i="6"/>
  <c r="S16" i="6"/>
  <c r="L16" i="5"/>
  <c r="K16" i="5"/>
  <c r="AH16" i="5"/>
  <c r="I18" i="1" s="1"/>
  <c r="AG16" i="5"/>
  <c r="H18" i="1" s="1"/>
  <c r="W16" i="5"/>
  <c r="V16" i="5"/>
  <c r="AS16" i="5"/>
  <c r="AR16" i="5"/>
  <c r="BA16" i="5"/>
  <c r="AZ16" i="5"/>
  <c r="E18" i="1" s="1"/>
  <c r="D18" i="1" s="1"/>
  <c r="BK16" i="5"/>
  <c r="BL16" i="5"/>
  <c r="BW16" i="5"/>
  <c r="BV16" i="5"/>
  <c r="T16" i="3"/>
  <c r="S16" i="3"/>
  <c r="E14" i="1" s="1"/>
  <c r="D14" i="1" s="1"/>
  <c r="AE16" i="3"/>
  <c r="AD16" i="3"/>
  <c r="AP16" i="3"/>
  <c r="AO16" i="3"/>
  <c r="AE16" i="4"/>
  <c r="AD16" i="4"/>
  <c r="T16" i="4"/>
  <c r="S16" i="4"/>
  <c r="K16" i="4"/>
  <c r="L16" i="4"/>
  <c r="I10" i="1" s="1"/>
  <c r="J10" i="1" s="1"/>
  <c r="Y35" i="25" s="1"/>
  <c r="BA16" i="2"/>
  <c r="O6" i="1" s="1"/>
  <c r="AZ16" i="2"/>
  <c r="N6" i="1" s="1"/>
  <c r="M14" i="25" s="1"/>
  <c r="M59" i="22" s="1"/>
  <c r="AO16" i="2"/>
  <c r="AP16" i="2"/>
  <c r="V16" i="2"/>
  <c r="H6" i="1" s="1"/>
  <c r="I14" i="25" s="1"/>
  <c r="W16" i="2"/>
  <c r="I6" i="1" s="1"/>
  <c r="K17" i="25" l="1"/>
  <c r="J17" i="25" s="1"/>
  <c r="L62" i="22"/>
  <c r="J18" i="1"/>
  <c r="Y37" i="25" s="1"/>
  <c r="X35" i="25"/>
  <c r="Z35" i="25"/>
  <c r="Y45" i="25"/>
  <c r="K25" i="25"/>
  <c r="L70" i="22"/>
  <c r="E28" i="25"/>
  <c r="G62" i="1"/>
  <c r="X49" i="25"/>
  <c r="G18" i="1"/>
  <c r="E17" i="25"/>
  <c r="M65" i="22"/>
  <c r="O20" i="25"/>
  <c r="N20" i="25" s="1"/>
  <c r="G14" i="1"/>
  <c r="E16" i="25"/>
  <c r="L63" i="22"/>
  <c r="K18" i="25"/>
  <c r="M64" i="22"/>
  <c r="O19" i="25"/>
  <c r="N19" i="25" s="1"/>
  <c r="L64" i="22"/>
  <c r="K19" i="25"/>
  <c r="K21" i="25"/>
  <c r="L66" i="22"/>
  <c r="J26" i="25"/>
  <c r="X26" i="25" s="1"/>
  <c r="Y26" i="25"/>
  <c r="M63" i="22"/>
  <c r="O18" i="25"/>
  <c r="N18" i="25" s="1"/>
  <c r="L65" i="22"/>
  <c r="K20" i="25"/>
  <c r="K69" i="22"/>
  <c r="G24" i="25"/>
  <c r="L59" i="22"/>
  <c r="K14" i="25"/>
  <c r="G38" i="1"/>
  <c r="E22" i="25"/>
  <c r="J29" i="25"/>
  <c r="X29" i="25" s="1"/>
  <c r="Y29" i="25"/>
  <c r="O14" i="25"/>
  <c r="L38" i="1"/>
  <c r="M38" i="1" s="1"/>
  <c r="K38" i="1"/>
  <c r="I38" i="1"/>
  <c r="H38" i="1"/>
  <c r="I22" i="25" s="1"/>
  <c r="J34" i="1"/>
  <c r="P22" i="1"/>
  <c r="P26" i="1"/>
  <c r="J22" i="1"/>
  <c r="J30" i="1"/>
  <c r="P6" i="1"/>
  <c r="J6" i="1"/>
  <c r="Y34" i="25" s="1"/>
  <c r="J26" i="1"/>
  <c r="D33" i="16"/>
  <c r="C33" i="16"/>
  <c r="E25" i="16"/>
  <c r="E26" i="16"/>
  <c r="E27" i="16"/>
  <c r="E28" i="16"/>
  <c r="E29" i="16"/>
  <c r="E30" i="16"/>
  <c r="E31" i="16"/>
  <c r="C32" i="16"/>
  <c r="E24" i="16"/>
  <c r="E23" i="16"/>
  <c r="D32" i="16"/>
  <c r="X37" i="25" l="1"/>
  <c r="Z37" i="25"/>
  <c r="X34" i="25"/>
  <c r="Z34" i="25"/>
  <c r="J25" i="25"/>
  <c r="X25" i="25" s="1"/>
  <c r="Y25" i="25"/>
  <c r="X46" i="25"/>
  <c r="Z46" i="25"/>
  <c r="X45" i="25"/>
  <c r="Z45" i="25"/>
  <c r="K73" i="22"/>
  <c r="G28" i="25"/>
  <c r="J14" i="25"/>
  <c r="Y14" i="25"/>
  <c r="Y24" i="25"/>
  <c r="F24" i="25"/>
  <c r="X24" i="25" s="1"/>
  <c r="K61" i="22"/>
  <c r="G16" i="25"/>
  <c r="E30" i="25"/>
  <c r="K62" i="22"/>
  <c r="G17" i="25"/>
  <c r="J20" i="25"/>
  <c r="X20" i="25" s="1"/>
  <c r="Y20" i="25"/>
  <c r="J19" i="25"/>
  <c r="X19" i="25" s="1"/>
  <c r="Y19" i="25"/>
  <c r="J18" i="25"/>
  <c r="X18" i="25" s="1"/>
  <c r="Y18" i="25"/>
  <c r="K22" i="25"/>
  <c r="J22" i="25" s="1"/>
  <c r="L67" i="22"/>
  <c r="G22" i="25"/>
  <c r="K67" i="22"/>
  <c r="I30" i="25"/>
  <c r="J21" i="25"/>
  <c r="X21" i="25" s="1"/>
  <c r="Y21" i="25"/>
  <c r="N14" i="25"/>
  <c r="J38" i="1"/>
  <c r="E33" i="16"/>
  <c r="E32" i="16"/>
  <c r="M16" i="6"/>
  <c r="F28" i="25" l="1"/>
  <c r="X28" i="25" s="1"/>
  <c r="Y28" i="25"/>
  <c r="K75" i="22"/>
  <c r="D5" i="23"/>
  <c r="F22" i="25"/>
  <c r="X22" i="25" s="1"/>
  <c r="Y22" i="25"/>
  <c r="Y16" i="25"/>
  <c r="F16" i="25"/>
  <c r="G30" i="25"/>
  <c r="F17" i="25"/>
  <c r="X17" i="25" s="1"/>
  <c r="Y17" i="25"/>
  <c r="K30" i="25"/>
  <c r="D6" i="23"/>
  <c r="L75" i="22"/>
  <c r="J30" i="25"/>
  <c r="X14" i="25"/>
  <c r="K8" i="23"/>
  <c r="O8" i="23"/>
  <c r="E8" i="23"/>
  <c r="E20" i="23" s="1"/>
  <c r="E32" i="23" s="1"/>
  <c r="F8" i="23"/>
  <c r="L8" i="23"/>
  <c r="N8" i="23"/>
  <c r="H8" i="23"/>
  <c r="I8" i="23"/>
  <c r="M8" i="23"/>
  <c r="G8" i="23"/>
  <c r="J8" i="23"/>
  <c r="D16" i="2"/>
  <c r="G16" i="2"/>
  <c r="J16" i="2"/>
  <c r="I33" i="1"/>
  <c r="I32" i="1"/>
  <c r="I31" i="1"/>
  <c r="H31" i="1"/>
  <c r="I6" i="23" l="1"/>
  <c r="O6" i="23"/>
  <c r="J6" i="23"/>
  <c r="H6" i="23"/>
  <c r="G6" i="23"/>
  <c r="L6" i="23"/>
  <c r="M6" i="23"/>
  <c r="N6" i="23"/>
  <c r="K6" i="23"/>
  <c r="F6" i="23"/>
  <c r="E6" i="23"/>
  <c r="E18" i="23" s="1"/>
  <c r="E30" i="23" s="1"/>
  <c r="D9" i="23"/>
  <c r="F101" i="22"/>
  <c r="D10" i="23"/>
  <c r="G101" i="22"/>
  <c r="X16" i="25"/>
  <c r="F30" i="25"/>
  <c r="F5" i="23"/>
  <c r="E5" i="23"/>
  <c r="E17" i="23" s="1"/>
  <c r="E29" i="23" s="1"/>
  <c r="J5" i="23"/>
  <c r="H5" i="23"/>
  <c r="N5" i="23"/>
  <c r="M5" i="23"/>
  <c r="O5" i="23"/>
  <c r="K5" i="23"/>
  <c r="L5" i="23"/>
  <c r="I5" i="23"/>
  <c r="G5" i="23"/>
  <c r="P8" i="23"/>
  <c r="Q20" i="23" s="1"/>
  <c r="S20" i="23" s="1"/>
  <c r="L12" i="23"/>
  <c r="K12" i="23"/>
  <c r="F12" i="23"/>
  <c r="H12" i="23"/>
  <c r="O12" i="23"/>
  <c r="G12" i="23"/>
  <c r="M12" i="23"/>
  <c r="N12" i="23"/>
  <c r="I12" i="23"/>
  <c r="J12" i="23"/>
  <c r="E12" i="23"/>
  <c r="J31" i="1"/>
  <c r="AG21" i="14"/>
  <c r="M9" i="23" l="1"/>
  <c r="H9" i="23"/>
  <c r="K9" i="23"/>
  <c r="E9" i="23"/>
  <c r="E21" i="23" s="1"/>
  <c r="E33" i="23" s="1"/>
  <c r="J9" i="23"/>
  <c r="L9" i="23"/>
  <c r="O9" i="23"/>
  <c r="I9" i="23"/>
  <c r="N9" i="23"/>
  <c r="G9" i="23"/>
  <c r="F9" i="23"/>
  <c r="P5" i="23"/>
  <c r="Q17" i="23" s="1"/>
  <c r="S17" i="23" s="1"/>
  <c r="I10" i="23"/>
  <c r="E10" i="23"/>
  <c r="E22" i="23" s="1"/>
  <c r="E34" i="23" s="1"/>
  <c r="F10" i="23"/>
  <c r="J10" i="23"/>
  <c r="G10" i="23"/>
  <c r="K10" i="23"/>
  <c r="O10" i="23"/>
  <c r="M10" i="23"/>
  <c r="N10" i="23"/>
  <c r="H10" i="23"/>
  <c r="L10" i="23"/>
  <c r="P6" i="23"/>
  <c r="E24" i="23"/>
  <c r="P12" i="23"/>
  <c r="Q24" i="23" s="1"/>
  <c r="S24" i="23" s="1"/>
  <c r="Z21" i="2"/>
  <c r="Z20" i="2"/>
  <c r="X21" i="2"/>
  <c r="X20" i="2"/>
  <c r="X16" i="2"/>
  <c r="P9" i="23" l="1"/>
  <c r="Q21" i="23" s="1"/>
  <c r="S21" i="23" s="1"/>
  <c r="P10" i="23"/>
  <c r="Q22" i="23" s="1"/>
  <c r="S22" i="23" s="1"/>
  <c r="E36" i="23"/>
  <c r="R25" i="15"/>
  <c r="P25" i="15"/>
  <c r="N25" i="15"/>
  <c r="N37" i="15"/>
  <c r="Q25" i="15"/>
  <c r="O25" i="15"/>
  <c r="M25" i="15"/>
  <c r="M37" i="15" s="1"/>
  <c r="G37" i="15"/>
  <c r="D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AA37" i="15"/>
  <c r="Y37" i="15"/>
  <c r="X37" i="15"/>
  <c r="V37" i="15"/>
  <c r="U37" i="15"/>
  <c r="R37" i="15"/>
  <c r="P37" i="15"/>
  <c r="J37" i="15"/>
  <c r="H37" i="15"/>
  <c r="E37" i="15"/>
  <c r="B37" i="15"/>
  <c r="AC37" i="15"/>
  <c r="AB37" i="15"/>
  <c r="Z37" i="15"/>
  <c r="W37" i="15"/>
  <c r="Q37" i="15"/>
  <c r="O37" i="15"/>
  <c r="AC7" i="15"/>
  <c r="AB7" i="15"/>
  <c r="Z8" i="15"/>
  <c r="Z4" i="15"/>
  <c r="W10" i="15"/>
  <c r="W7" i="15"/>
  <c r="W4" i="15"/>
  <c r="V10" i="15"/>
  <c r="V16" i="15" s="1"/>
  <c r="Q4" i="15"/>
  <c r="O4" i="15"/>
  <c r="M4" i="15"/>
  <c r="I37" i="15" l="1"/>
  <c r="F37" i="15"/>
  <c r="C37" i="15"/>
  <c r="AC4" i="13" l="1"/>
  <c r="Z7" i="13"/>
  <c r="Y7" i="13"/>
  <c r="Z4" i="13"/>
  <c r="Y4" i="13"/>
  <c r="W7" i="13"/>
  <c r="W4" i="13"/>
  <c r="V4" i="13"/>
  <c r="R4" i="13"/>
  <c r="Q4" i="13"/>
  <c r="P4" i="13"/>
  <c r="O4" i="13"/>
  <c r="N4" i="13"/>
  <c r="M4" i="13"/>
  <c r="K29" i="1" l="1"/>
  <c r="M29" i="1" s="1"/>
  <c r="K16" i="1"/>
  <c r="K15" i="1"/>
  <c r="H65" i="1" l="1"/>
  <c r="H64" i="1"/>
  <c r="H63" i="1"/>
  <c r="H33" i="1"/>
  <c r="J33" i="1" s="1"/>
  <c r="H29" i="1"/>
  <c r="H28" i="1"/>
  <c r="H27" i="1"/>
  <c r="H25" i="1"/>
  <c r="H24" i="1"/>
  <c r="H23" i="1"/>
  <c r="H21" i="1"/>
  <c r="H20" i="1"/>
  <c r="H19" i="1"/>
  <c r="M43" i="1"/>
  <c r="E33" i="1"/>
  <c r="D33" i="1" s="1"/>
  <c r="E32" i="1"/>
  <c r="D32" i="1" s="1"/>
  <c r="E31" i="1"/>
  <c r="D31" i="1" s="1"/>
  <c r="E29" i="1"/>
  <c r="D29" i="1" s="1"/>
  <c r="E28" i="1"/>
  <c r="D28" i="1" s="1"/>
  <c r="E27" i="1"/>
  <c r="D27" i="1" s="1"/>
  <c r="E25" i="1"/>
  <c r="E24" i="1"/>
  <c r="D24" i="1" s="1"/>
  <c r="E17" i="1"/>
  <c r="E16" i="1"/>
  <c r="D16" i="1" s="1"/>
  <c r="E5" i="1"/>
  <c r="D5" i="1" s="1"/>
  <c r="E4" i="1"/>
  <c r="D4" i="1" s="1"/>
  <c r="D17" i="1" l="1"/>
  <c r="D25" i="1"/>
  <c r="AA23" i="7"/>
  <c r="D25" i="7"/>
  <c r="P20" i="7"/>
  <c r="O16" i="6"/>
  <c r="E20" i="1" s="1"/>
  <c r="D20" i="1" s="1"/>
  <c r="E19" i="1"/>
  <c r="Q16" i="6"/>
  <c r="E21" i="1" s="1"/>
  <c r="D19" i="1" l="1"/>
  <c r="D21" i="1"/>
  <c r="C16" i="15"/>
  <c r="H55" i="1" s="1"/>
  <c r="D16" i="15"/>
  <c r="I55" i="1" s="1"/>
  <c r="E16" i="15"/>
  <c r="F16" i="15"/>
  <c r="H56" i="1" s="1"/>
  <c r="G16" i="15"/>
  <c r="I56" i="1" s="1"/>
  <c r="J56" i="1" s="1"/>
  <c r="H16" i="15"/>
  <c r="I16" i="15"/>
  <c r="H57" i="1" s="1"/>
  <c r="J16" i="15"/>
  <c r="I57" i="1" s="1"/>
  <c r="J57" i="1" s="1"/>
  <c r="M16" i="15"/>
  <c r="N16" i="15"/>
  <c r="F55" i="1" s="1"/>
  <c r="O16" i="15"/>
  <c r="P16" i="15"/>
  <c r="F56" i="1" s="1"/>
  <c r="Q16" i="15"/>
  <c r="R16" i="15"/>
  <c r="F57" i="1" s="1"/>
  <c r="U16" i="15"/>
  <c r="W16" i="15"/>
  <c r="X16" i="15"/>
  <c r="Y16" i="15"/>
  <c r="Z16" i="15"/>
  <c r="AA16" i="15"/>
  <c r="AB16" i="15"/>
  <c r="AC16" i="15"/>
  <c r="B16" i="15"/>
  <c r="J55" i="1" l="1"/>
  <c r="E56" i="1"/>
  <c r="D56" i="1" s="1"/>
  <c r="G56" i="1" s="1"/>
  <c r="E57" i="1"/>
  <c r="D57" i="1" s="1"/>
  <c r="G57" i="1" s="1"/>
  <c r="E55" i="1"/>
  <c r="D55" i="1" s="1"/>
  <c r="G55" i="1" s="1"/>
  <c r="O63" i="1"/>
  <c r="O64" i="1"/>
  <c r="O65" i="1"/>
  <c r="N65" i="1"/>
  <c r="N64" i="1"/>
  <c r="N63" i="1"/>
  <c r="I63" i="1"/>
  <c r="J63" i="1" s="1"/>
  <c r="I64" i="1"/>
  <c r="J64" i="1" s="1"/>
  <c r="I65" i="1"/>
  <c r="J65" i="1" s="1"/>
  <c r="O55" i="1"/>
  <c r="O56" i="1"/>
  <c r="O57" i="1"/>
  <c r="N57" i="1"/>
  <c r="N56" i="1"/>
  <c r="N55" i="1"/>
  <c r="D16" i="13"/>
  <c r="I47" i="1" s="1"/>
  <c r="E16" i="13"/>
  <c r="F16" i="13"/>
  <c r="H48" i="1" s="1"/>
  <c r="G16" i="13"/>
  <c r="I48" i="1" s="1"/>
  <c r="H16" i="13"/>
  <c r="I16" i="13"/>
  <c r="H49" i="1" s="1"/>
  <c r="J16" i="13"/>
  <c r="I49" i="1" s="1"/>
  <c r="J49" i="1" s="1"/>
  <c r="N16" i="13"/>
  <c r="U16" i="13"/>
  <c r="X16" i="13"/>
  <c r="AA16" i="13"/>
  <c r="C16" i="13"/>
  <c r="H47" i="1" s="1"/>
  <c r="F47" i="1"/>
  <c r="B16" i="11"/>
  <c r="E16" i="11"/>
  <c r="H16" i="11"/>
  <c r="I16" i="11"/>
  <c r="M16" i="11"/>
  <c r="P16" i="11"/>
  <c r="S16" i="11"/>
  <c r="T16" i="11"/>
  <c r="X16" i="11"/>
  <c r="AA16" i="11"/>
  <c r="AD16" i="11"/>
  <c r="AT16" i="11"/>
  <c r="AW16" i="11"/>
  <c r="BB16" i="11"/>
  <c r="BE16" i="11"/>
  <c r="AQ16" i="11"/>
  <c r="K39" i="1" s="1"/>
  <c r="C16" i="10"/>
  <c r="D16" i="10"/>
  <c r="E16" i="10"/>
  <c r="F16" i="10"/>
  <c r="G16" i="10"/>
  <c r="B16" i="10"/>
  <c r="F33" i="1"/>
  <c r="G33" i="1" s="1"/>
  <c r="F32" i="1"/>
  <c r="G32" i="1" s="1"/>
  <c r="F31" i="1"/>
  <c r="G31" i="1" s="1"/>
  <c r="O32" i="1"/>
  <c r="O31" i="1"/>
  <c r="N33" i="1"/>
  <c r="P33" i="1" s="1"/>
  <c r="N32" i="1"/>
  <c r="N31" i="1"/>
  <c r="I29" i="1"/>
  <c r="J29" i="1" s="1"/>
  <c r="I28" i="1"/>
  <c r="J28" i="1" s="1"/>
  <c r="I27" i="1"/>
  <c r="J27" i="1" s="1"/>
  <c r="F29" i="1"/>
  <c r="G29" i="1" s="1"/>
  <c r="F28" i="1"/>
  <c r="G28" i="1" s="1"/>
  <c r="F27" i="1"/>
  <c r="G27" i="1" s="1"/>
  <c r="I25" i="1"/>
  <c r="J25" i="1" s="1"/>
  <c r="I24" i="1"/>
  <c r="J24" i="1" s="1"/>
  <c r="I23" i="1"/>
  <c r="J23" i="1" s="1"/>
  <c r="F25" i="1"/>
  <c r="G25" i="1" s="1"/>
  <c r="F24" i="1"/>
  <c r="G24" i="1" s="1"/>
  <c r="O25" i="1"/>
  <c r="O24" i="1"/>
  <c r="O23" i="1"/>
  <c r="N25" i="1"/>
  <c r="N24" i="1"/>
  <c r="N23" i="1"/>
  <c r="F19" i="1"/>
  <c r="G19" i="1" s="1"/>
  <c r="F21" i="1"/>
  <c r="G21" i="1" s="1"/>
  <c r="F20" i="1"/>
  <c r="G20" i="1" s="1"/>
  <c r="O19" i="1"/>
  <c r="I21" i="1"/>
  <c r="J21" i="1" s="1"/>
  <c r="I20" i="1"/>
  <c r="J20" i="1" s="1"/>
  <c r="I19" i="1"/>
  <c r="J19" i="1" s="1"/>
  <c r="O17" i="1"/>
  <c r="O16" i="1"/>
  <c r="O15" i="1"/>
  <c r="N17" i="1"/>
  <c r="N16" i="1"/>
  <c r="N15" i="1"/>
  <c r="F17" i="1"/>
  <c r="G17" i="1" s="1"/>
  <c r="F16" i="1"/>
  <c r="G16" i="1" s="1"/>
  <c r="L16" i="1"/>
  <c r="M16" i="1" s="1"/>
  <c r="L15" i="1"/>
  <c r="M15" i="1" s="1"/>
  <c r="P59" i="1"/>
  <c r="P60" i="1"/>
  <c r="P61" i="1"/>
  <c r="F5" i="1"/>
  <c r="G5" i="1" s="1"/>
  <c r="F4" i="1"/>
  <c r="G4" i="1" s="1"/>
  <c r="M7" i="1"/>
  <c r="M8" i="1"/>
  <c r="M9" i="1"/>
  <c r="M19" i="1"/>
  <c r="M20" i="1"/>
  <c r="M21" i="1"/>
  <c r="M23" i="1"/>
  <c r="M24" i="1"/>
  <c r="M25" i="1"/>
  <c r="M31" i="1"/>
  <c r="M32" i="1"/>
  <c r="M33" i="1"/>
  <c r="M44" i="1"/>
  <c r="M45" i="1"/>
  <c r="M47" i="1"/>
  <c r="M48" i="1"/>
  <c r="M49" i="1"/>
  <c r="M51" i="1"/>
  <c r="M52" i="1"/>
  <c r="M53" i="1"/>
  <c r="M55" i="1"/>
  <c r="M56" i="1"/>
  <c r="M57" i="1"/>
  <c r="M59" i="1"/>
  <c r="M60" i="1"/>
  <c r="M61" i="1"/>
  <c r="M63" i="1"/>
  <c r="M64" i="1"/>
  <c r="M65" i="1"/>
  <c r="L4" i="1"/>
  <c r="CC16" i="10"/>
  <c r="CB16" i="10"/>
  <c r="CF16" i="10"/>
  <c r="CI16" i="10"/>
  <c r="CL16" i="10"/>
  <c r="CO16" i="10"/>
  <c r="CS16" i="10"/>
  <c r="N35" i="1" s="1"/>
  <c r="CT16" i="10"/>
  <c r="O35" i="1" s="1"/>
  <c r="CU16" i="10"/>
  <c r="CV16" i="10"/>
  <c r="N36" i="1" s="1"/>
  <c r="CW16" i="10"/>
  <c r="O36" i="1" s="1"/>
  <c r="CX16" i="10"/>
  <c r="CY16" i="10"/>
  <c r="N37" i="1" s="1"/>
  <c r="CZ16" i="10"/>
  <c r="O37" i="1" s="1"/>
  <c r="CR16" i="10"/>
  <c r="AJ16" i="10"/>
  <c r="AK16" i="10"/>
  <c r="AL16" i="10"/>
  <c r="AM16" i="10"/>
  <c r="AN16" i="10"/>
  <c r="AO16" i="10"/>
  <c r="AP16" i="10"/>
  <c r="AQ16" i="10"/>
  <c r="AT16" i="10"/>
  <c r="E35" i="1" s="1"/>
  <c r="AV16" i="10"/>
  <c r="E36" i="1" s="1"/>
  <c r="D36" i="1" s="1"/>
  <c r="AX16" i="10"/>
  <c r="BB16" i="10"/>
  <c r="BC16" i="10"/>
  <c r="BD16" i="10"/>
  <c r="BE16" i="10"/>
  <c r="BF16" i="10"/>
  <c r="BG16" i="10"/>
  <c r="BH16" i="10"/>
  <c r="BI16" i="10"/>
  <c r="BJ16" i="10"/>
  <c r="BM16" i="10"/>
  <c r="BP16" i="10"/>
  <c r="BS16" i="10"/>
  <c r="BT16" i="10"/>
  <c r="BU16" i="10"/>
  <c r="AI16" i="10"/>
  <c r="Z16" i="10"/>
  <c r="Y16" i="10"/>
  <c r="X16" i="10"/>
  <c r="R16" i="10"/>
  <c r="Q16" i="10"/>
  <c r="O16" i="10"/>
  <c r="N16" i="10"/>
  <c r="M16" i="10"/>
  <c r="P16" i="10"/>
  <c r="S16" i="10"/>
  <c r="J16" i="10"/>
  <c r="I16" i="10"/>
  <c r="H16" i="10"/>
  <c r="U16" i="10"/>
  <c r="T16" i="10"/>
  <c r="AY6" i="10"/>
  <c r="AY7" i="10"/>
  <c r="AY8" i="10"/>
  <c r="AY9" i="10"/>
  <c r="AY10" i="10"/>
  <c r="AY11" i="10"/>
  <c r="AY12" i="10"/>
  <c r="AY13" i="10"/>
  <c r="AY14" i="10"/>
  <c r="AY15" i="10"/>
  <c r="AY5" i="10"/>
  <c r="AY4" i="10"/>
  <c r="AW12" i="10"/>
  <c r="AW11" i="10"/>
  <c r="AW10" i="10"/>
  <c r="AW7" i="10"/>
  <c r="AW15" i="10"/>
  <c r="AW14" i="10"/>
  <c r="AW6" i="10"/>
  <c r="AW8" i="10"/>
  <c r="AW9" i="10"/>
  <c r="AW4" i="10"/>
  <c r="AW5" i="10"/>
  <c r="AW13" i="10"/>
  <c r="BO16" i="10"/>
  <c r="AU5" i="10"/>
  <c r="AU6" i="10"/>
  <c r="AU7" i="10"/>
  <c r="AU8" i="10"/>
  <c r="AU9" i="10"/>
  <c r="AU10" i="10"/>
  <c r="AU11" i="10"/>
  <c r="AU12" i="10"/>
  <c r="AU13" i="10"/>
  <c r="AU14" i="10"/>
  <c r="AU15" i="10"/>
  <c r="AU4" i="10"/>
  <c r="BY16" i="10"/>
  <c r="BZ16" i="10"/>
  <c r="J47" i="1" l="1"/>
  <c r="J48" i="1"/>
  <c r="H35" i="1"/>
  <c r="D35" i="1"/>
  <c r="BM18" i="10"/>
  <c r="I35" i="1"/>
  <c r="P16" i="1"/>
  <c r="P24" i="1"/>
  <c r="P65" i="1"/>
  <c r="E37" i="1"/>
  <c r="AW16" i="10"/>
  <c r="F36" i="1" s="1"/>
  <c r="G36" i="1" s="1"/>
  <c r="K37" i="1"/>
  <c r="H37" i="1"/>
  <c r="L37" i="1"/>
  <c r="I37" i="1"/>
  <c r="P32" i="1"/>
  <c r="P63" i="1"/>
  <c r="H36" i="1"/>
  <c r="AY16" i="10"/>
  <c r="F37" i="1" s="1"/>
  <c r="AU16" i="10"/>
  <c r="F35" i="1" s="1"/>
  <c r="G35" i="1" s="1"/>
  <c r="P17" i="1"/>
  <c r="P55" i="1"/>
  <c r="P36" i="1"/>
  <c r="P35" i="1"/>
  <c r="P37" i="1"/>
  <c r="P57" i="1"/>
  <c r="I36" i="1"/>
  <c r="P25" i="1"/>
  <c r="P31" i="1"/>
  <c r="P64" i="1"/>
  <c r="P56" i="1"/>
  <c r="P23" i="1"/>
  <c r="P15" i="1"/>
  <c r="J35" i="1" l="1"/>
  <c r="J36" i="1"/>
  <c r="D37" i="1"/>
  <c r="G37" i="1" s="1"/>
  <c r="J37" i="1"/>
  <c r="M37" i="1"/>
  <c r="AB16" i="13"/>
  <c r="N49" i="1" s="1"/>
  <c r="AC16" i="13"/>
  <c r="O49" i="1" s="1"/>
  <c r="Z16" i="13"/>
  <c r="O48" i="1" s="1"/>
  <c r="W16" i="13"/>
  <c r="O47" i="1" s="1"/>
  <c r="R16" i="13"/>
  <c r="F49" i="1" s="1"/>
  <c r="Q16" i="13"/>
  <c r="E49" i="1" s="1"/>
  <c r="D49" i="1" s="1"/>
  <c r="G49" i="1" s="1"/>
  <c r="O16" i="13"/>
  <c r="E48" i="1" s="1"/>
  <c r="D48" i="1" s="1"/>
  <c r="P16" i="13"/>
  <c r="F48" i="1" s="1"/>
  <c r="G48" i="1" s="1"/>
  <c r="M16" i="13"/>
  <c r="DJ4" i="12"/>
  <c r="DD4" i="12"/>
  <c r="DE4" i="12"/>
  <c r="CY16" i="12"/>
  <c r="BA4" i="12"/>
  <c r="BB4" i="12"/>
  <c r="AX4" i="12"/>
  <c r="AY4" i="12"/>
  <c r="AU4" i="12"/>
  <c r="AV4" i="12"/>
  <c r="AP4" i="12"/>
  <c r="AQ4" i="12"/>
  <c r="AN4" i="12"/>
  <c r="AM4" i="12"/>
  <c r="AJ4" i="12"/>
  <c r="AK4" i="12"/>
  <c r="I4" i="12"/>
  <c r="J4" i="12"/>
  <c r="G12" i="12"/>
  <c r="F12" i="12"/>
  <c r="F4" i="12"/>
  <c r="G4" i="12"/>
  <c r="D16" i="12"/>
  <c r="D13" i="12"/>
  <c r="C13" i="12"/>
  <c r="C4" i="12"/>
  <c r="D4" i="12"/>
  <c r="BI16" i="11"/>
  <c r="N41" i="1" s="1"/>
  <c r="BJ16" i="11"/>
  <c r="O41" i="1" s="1"/>
  <c r="BC16" i="11"/>
  <c r="N39" i="1" s="1"/>
  <c r="M23" i="25" s="1"/>
  <c r="AX16" i="11"/>
  <c r="K41" i="1" s="1"/>
  <c r="AM4" i="11"/>
  <c r="AM16" i="11" s="1"/>
  <c r="AN4" i="11"/>
  <c r="AN16" i="11" s="1"/>
  <c r="F41" i="1" s="1"/>
  <c r="AK4" i="11"/>
  <c r="AK16" i="11" s="1"/>
  <c r="E40" i="1" s="1"/>
  <c r="D40" i="1" s="1"/>
  <c r="AL4" i="11"/>
  <c r="AL16" i="11" s="1"/>
  <c r="F40" i="1" s="1"/>
  <c r="AI4" i="11"/>
  <c r="AI16" i="11" s="1"/>
  <c r="AJ4" i="11"/>
  <c r="AJ16" i="11" s="1"/>
  <c r="F39" i="1" s="1"/>
  <c r="AE4" i="11"/>
  <c r="AE16" i="11" s="1"/>
  <c r="H41" i="1" s="1"/>
  <c r="AF4" i="11"/>
  <c r="AF16" i="11" s="1"/>
  <c r="AB4" i="11"/>
  <c r="AB16" i="11" s="1"/>
  <c r="AC4" i="11"/>
  <c r="AC16" i="11" s="1"/>
  <c r="Y15" i="11"/>
  <c r="Y16" i="11" s="1"/>
  <c r="Z15" i="11"/>
  <c r="Z4" i="11"/>
  <c r="U4" i="11"/>
  <c r="U16" i="11" s="1"/>
  <c r="R15" i="11"/>
  <c r="Q4" i="11"/>
  <c r="Q16" i="11" s="1"/>
  <c r="R4" i="11"/>
  <c r="O15" i="11"/>
  <c r="N4" i="11"/>
  <c r="N16" i="11" s="1"/>
  <c r="O4" i="11"/>
  <c r="J4" i="11"/>
  <c r="J16" i="11" s="1"/>
  <c r="G4" i="11"/>
  <c r="G15" i="11"/>
  <c r="F4" i="11"/>
  <c r="F16" i="11" s="1"/>
  <c r="D15" i="11"/>
  <c r="D4" i="11"/>
  <c r="C4" i="11"/>
  <c r="C16" i="11" s="1"/>
  <c r="M68" i="22" l="1"/>
  <c r="O23" i="25"/>
  <c r="M30" i="25"/>
  <c r="G40" i="1"/>
  <c r="I41" i="1"/>
  <c r="J41" i="1" s="1"/>
  <c r="BD16" i="11"/>
  <c r="O39" i="1" s="1"/>
  <c r="P39" i="1" s="1"/>
  <c r="D16" i="11"/>
  <c r="P49" i="1"/>
  <c r="O16" i="11"/>
  <c r="V16" i="13"/>
  <c r="N47" i="1" s="1"/>
  <c r="P47" i="1" s="1"/>
  <c r="H39" i="1"/>
  <c r="E39" i="1"/>
  <c r="E41" i="1"/>
  <c r="D41" i="1" s="1"/>
  <c r="G41" i="1" s="1"/>
  <c r="H40" i="1"/>
  <c r="AS16" i="11"/>
  <c r="L39" i="1" s="1"/>
  <c r="M39" i="1" s="1"/>
  <c r="E47" i="1"/>
  <c r="D47" i="1" s="1"/>
  <c r="G47" i="1" s="1"/>
  <c r="C16" i="12"/>
  <c r="G16" i="11"/>
  <c r="P41" i="1"/>
  <c r="Y16" i="13"/>
  <c r="N48" i="1" s="1"/>
  <c r="P48" i="1" s="1"/>
  <c r="Z16" i="11"/>
  <c r="I39" i="1" s="1"/>
  <c r="J39" i="1" s="1"/>
  <c r="AR16" i="11"/>
  <c r="BG16" i="11"/>
  <c r="O40" i="1" s="1"/>
  <c r="AV16" i="11"/>
  <c r="L40" i="1" s="1"/>
  <c r="AY16" i="11"/>
  <c r="L41" i="1" s="1"/>
  <c r="M41" i="1" s="1"/>
  <c r="BF16" i="11"/>
  <c r="N40" i="1" s="1"/>
  <c r="AU16" i="11"/>
  <c r="K40" i="1" s="1"/>
  <c r="R16" i="11"/>
  <c r="J28" i="10"/>
  <c r="I28" i="10"/>
  <c r="H28" i="10"/>
  <c r="J29" i="10"/>
  <c r="I29" i="10"/>
  <c r="H29" i="10"/>
  <c r="J24" i="10"/>
  <c r="I24" i="10"/>
  <c r="H24" i="10"/>
  <c r="J20" i="10"/>
  <c r="J23" i="10"/>
  <c r="I23" i="10"/>
  <c r="H23" i="10"/>
  <c r="I22" i="10"/>
  <c r="H22" i="10"/>
  <c r="I21" i="10"/>
  <c r="H21" i="10"/>
  <c r="I20" i="10"/>
  <c r="H20" i="10"/>
  <c r="E29" i="10"/>
  <c r="E28" i="10"/>
  <c r="E27" i="10"/>
  <c r="E26" i="10"/>
  <c r="E25" i="10"/>
  <c r="E24" i="10"/>
  <c r="E23" i="10"/>
  <c r="E22" i="10"/>
  <c r="E21" i="10"/>
  <c r="E20" i="10"/>
  <c r="D7" i="23" l="1"/>
  <c r="M75" i="22"/>
  <c r="N23" i="25"/>
  <c r="Y23" i="25"/>
  <c r="Y30" i="25" s="1"/>
  <c r="O30" i="25"/>
  <c r="D39" i="1"/>
  <c r="G39" i="1" s="1"/>
  <c r="I40" i="1"/>
  <c r="J40" i="1" s="1"/>
  <c r="M40" i="1"/>
  <c r="P40" i="1"/>
  <c r="T16" i="14"/>
  <c r="H53" i="1" s="1"/>
  <c r="P16" i="14"/>
  <c r="Q16" i="14"/>
  <c r="R16" i="14"/>
  <c r="H16" i="14"/>
  <c r="G16" i="14"/>
  <c r="E16" i="14"/>
  <c r="F16" i="14"/>
  <c r="D16" i="14"/>
  <c r="I51" i="1" s="1"/>
  <c r="C16" i="14"/>
  <c r="H51" i="1" s="1"/>
  <c r="B16" i="14"/>
  <c r="H16" i="9"/>
  <c r="G16" i="9"/>
  <c r="H32" i="1"/>
  <c r="J32" i="1" s="1"/>
  <c r="E16" i="9"/>
  <c r="D16" i="9"/>
  <c r="C16" i="9"/>
  <c r="B16" i="9"/>
  <c r="AG16" i="8"/>
  <c r="N27" i="1" s="1"/>
  <c r="AH16" i="8"/>
  <c r="O27" i="1" s="1"/>
  <c r="AJ16" i="8"/>
  <c r="N28" i="1" s="1"/>
  <c r="AK16" i="8"/>
  <c r="O28" i="1" s="1"/>
  <c r="AL16" i="8"/>
  <c r="AM16" i="8"/>
  <c r="N29" i="1" s="1"/>
  <c r="AN16" i="8"/>
  <c r="O29" i="1" s="1"/>
  <c r="X23" i="25" l="1"/>
  <c r="X30" i="25" s="1"/>
  <c r="N30" i="25"/>
  <c r="P29" i="1"/>
  <c r="H101" i="22"/>
  <c r="D11" i="23"/>
  <c r="J7" i="23"/>
  <c r="E7" i="23"/>
  <c r="E19" i="23" s="1"/>
  <c r="E31" i="23" s="1"/>
  <c r="O7" i="23"/>
  <c r="N7" i="23"/>
  <c r="I7" i="23"/>
  <c r="H7" i="23"/>
  <c r="F7" i="23"/>
  <c r="L7" i="23"/>
  <c r="M7" i="23"/>
  <c r="K7" i="23"/>
  <c r="G7" i="23"/>
  <c r="J51" i="1"/>
  <c r="P28" i="1"/>
  <c r="H52" i="1"/>
  <c r="I52" i="1"/>
  <c r="P27" i="1"/>
  <c r="V16" i="8"/>
  <c r="K27" i="1" s="1"/>
  <c r="W16" i="8"/>
  <c r="L27" i="1" s="1"/>
  <c r="Y16" i="8"/>
  <c r="K28" i="1" s="1"/>
  <c r="Z16" i="8"/>
  <c r="L28" i="1" s="1"/>
  <c r="P7" i="23" l="1"/>
  <c r="Q19" i="23" s="1"/>
  <c r="S19" i="23" s="1"/>
  <c r="I11" i="23"/>
  <c r="I14" i="23" s="1"/>
  <c r="I38" i="23" s="1"/>
  <c r="N11" i="23"/>
  <c r="N14" i="23" s="1"/>
  <c r="N38" i="23" s="1"/>
  <c r="E11" i="23"/>
  <c r="F11" i="23"/>
  <c r="G11" i="23"/>
  <c r="G14" i="23" s="1"/>
  <c r="G38" i="23" s="1"/>
  <c r="H11" i="23"/>
  <c r="H14" i="23" s="1"/>
  <c r="H38" i="23" s="1"/>
  <c r="O11" i="23"/>
  <c r="O14" i="23" s="1"/>
  <c r="O38" i="23" s="1"/>
  <c r="J11" i="23"/>
  <c r="J14" i="23" s="1"/>
  <c r="J38" i="23" s="1"/>
  <c r="M11" i="23"/>
  <c r="M14" i="23" s="1"/>
  <c r="M38" i="23" s="1"/>
  <c r="K11" i="23"/>
  <c r="K14" i="23" s="1"/>
  <c r="K38" i="23" s="1"/>
  <c r="L11" i="23"/>
  <c r="L14" i="23" s="1"/>
  <c r="L38" i="23" s="1"/>
  <c r="D14" i="23"/>
  <c r="J52" i="1"/>
  <c r="M27" i="1"/>
  <c r="M28" i="1"/>
  <c r="V16" i="6"/>
  <c r="N19" i="1" s="1"/>
  <c r="P19" i="1" s="1"/>
  <c r="N21" i="1"/>
  <c r="Y16" i="6"/>
  <c r="N20" i="1" s="1"/>
  <c r="Z16" i="6"/>
  <c r="O20" i="1" s="1"/>
  <c r="O21" i="1"/>
  <c r="AN16" i="5"/>
  <c r="AM16" i="5"/>
  <c r="AK16" i="5"/>
  <c r="BG24" i="5" s="1"/>
  <c r="AJ16" i="5"/>
  <c r="AC16" i="5"/>
  <c r="AB16" i="5"/>
  <c r="Z16" i="5"/>
  <c r="Y16" i="5"/>
  <c r="R16" i="5"/>
  <c r="Q16" i="5"/>
  <c r="P16" i="5"/>
  <c r="O16" i="5"/>
  <c r="N16" i="5"/>
  <c r="C16" i="5"/>
  <c r="D16" i="5"/>
  <c r="I15" i="1" s="1"/>
  <c r="F16" i="5"/>
  <c r="H16" i="1" s="1"/>
  <c r="G16" i="5"/>
  <c r="L39" i="23" l="1"/>
  <c r="L51" i="23"/>
  <c r="O39" i="23"/>
  <c r="O51" i="23"/>
  <c r="E23" i="23"/>
  <c r="E14" i="23"/>
  <c r="K39" i="23"/>
  <c r="K51" i="23"/>
  <c r="H39" i="23"/>
  <c r="H51" i="23"/>
  <c r="N51" i="23"/>
  <c r="N39" i="23"/>
  <c r="M39" i="23"/>
  <c r="M51" i="23"/>
  <c r="G39" i="23"/>
  <c r="G51" i="23"/>
  <c r="I51" i="23"/>
  <c r="I39" i="23"/>
  <c r="J51" i="23"/>
  <c r="J39" i="23"/>
  <c r="P11" i="23"/>
  <c r="Q23" i="23" s="1"/>
  <c r="S23" i="23" s="1"/>
  <c r="F14" i="23"/>
  <c r="P20" i="1"/>
  <c r="P21" i="1"/>
  <c r="H15" i="1"/>
  <c r="J15" i="1" s="1"/>
  <c r="BG23" i="5"/>
  <c r="BG25" i="5"/>
  <c r="I16" i="1"/>
  <c r="J16" i="1" s="1"/>
  <c r="AF16" i="5"/>
  <c r="AE16" i="5"/>
  <c r="AU16" i="5"/>
  <c r="F15" i="1" s="1"/>
  <c r="AT16" i="5"/>
  <c r="E15" i="1" s="1"/>
  <c r="AQ16" i="5"/>
  <c r="AP16" i="5"/>
  <c r="BJ16" i="5"/>
  <c r="L17" i="1" s="1"/>
  <c r="BI16" i="5"/>
  <c r="K17" i="1" s="1"/>
  <c r="U16" i="5"/>
  <c r="T16" i="5"/>
  <c r="J16" i="5"/>
  <c r="I16" i="5"/>
  <c r="AN16" i="2"/>
  <c r="L5" i="1" s="1"/>
  <c r="M5" i="1" s="1"/>
  <c r="AM16" i="2"/>
  <c r="K5" i="1" s="1"/>
  <c r="B16" i="5"/>
  <c r="H16" i="5"/>
  <c r="E16" i="5"/>
  <c r="M16" i="5"/>
  <c r="F38" i="23" l="1"/>
  <c r="P14" i="23"/>
  <c r="Q26" i="23" s="1"/>
  <c r="S26" i="23" s="1"/>
  <c r="E35" i="23"/>
  <c r="E26" i="23"/>
  <c r="E38" i="23" s="1"/>
  <c r="E51" i="23" s="1"/>
  <c r="M17" i="1"/>
  <c r="D15" i="1"/>
  <c r="G15" i="1" s="1"/>
  <c r="H17" i="1"/>
  <c r="I17" i="1"/>
  <c r="B16" i="3"/>
  <c r="C16" i="3"/>
  <c r="H11" i="1" s="1"/>
  <c r="D16" i="3"/>
  <c r="I11" i="1" s="1"/>
  <c r="E16" i="3"/>
  <c r="F16" i="3"/>
  <c r="H12" i="1" s="1"/>
  <c r="G16" i="3"/>
  <c r="I12" i="1" s="1"/>
  <c r="H16" i="3"/>
  <c r="I16" i="3"/>
  <c r="H13" i="1" s="1"/>
  <c r="J16" i="3"/>
  <c r="I13" i="1" s="1"/>
  <c r="M16" i="3"/>
  <c r="E11" i="1" s="1"/>
  <c r="N16" i="3"/>
  <c r="O16" i="3"/>
  <c r="E12" i="1" s="1"/>
  <c r="D12" i="1" s="1"/>
  <c r="P16" i="3"/>
  <c r="F12" i="1" s="1"/>
  <c r="Q16" i="3"/>
  <c r="E13" i="1" s="1"/>
  <c r="R16" i="3"/>
  <c r="F13" i="1" s="1"/>
  <c r="U16" i="3"/>
  <c r="V16" i="3"/>
  <c r="K11" i="1" s="1"/>
  <c r="W16" i="3"/>
  <c r="L11" i="1" s="1"/>
  <c r="X16" i="3"/>
  <c r="Y16" i="3"/>
  <c r="K12" i="1" s="1"/>
  <c r="Z16" i="3"/>
  <c r="AA16" i="3"/>
  <c r="AB16" i="3"/>
  <c r="K13" i="1" s="1"/>
  <c r="AC16" i="3"/>
  <c r="L13" i="1" s="1"/>
  <c r="M13" i="1" s="1"/>
  <c r="AF16" i="3"/>
  <c r="AG16" i="3"/>
  <c r="AH16" i="3"/>
  <c r="O11" i="1" s="1"/>
  <c r="AI16" i="3"/>
  <c r="AJ16" i="3"/>
  <c r="AK16" i="3"/>
  <c r="O12" i="1" s="1"/>
  <c r="AL16" i="3"/>
  <c r="AM16" i="3"/>
  <c r="AN16" i="3"/>
  <c r="O13" i="1" s="1"/>
  <c r="U16" i="4"/>
  <c r="V16" i="4"/>
  <c r="W16" i="4"/>
  <c r="O7" i="1" s="1"/>
  <c r="X16" i="4"/>
  <c r="Y16" i="4"/>
  <c r="Z16" i="4"/>
  <c r="O8" i="1" s="1"/>
  <c r="AA16" i="4"/>
  <c r="AB16" i="4"/>
  <c r="AC16" i="4"/>
  <c r="O9" i="1" s="1"/>
  <c r="C16" i="4"/>
  <c r="H7" i="1" s="1"/>
  <c r="D16" i="4"/>
  <c r="I7" i="1" s="1"/>
  <c r="E16" i="4"/>
  <c r="F16" i="4"/>
  <c r="G16" i="4"/>
  <c r="I8" i="1" s="1"/>
  <c r="H16" i="4"/>
  <c r="I16" i="4"/>
  <c r="J16" i="4"/>
  <c r="I9" i="1" s="1"/>
  <c r="M16" i="4"/>
  <c r="E7" i="1" s="1"/>
  <c r="D7" i="1" s="1"/>
  <c r="N16" i="4"/>
  <c r="F7" i="1" s="1"/>
  <c r="O16" i="4"/>
  <c r="E8" i="1" s="1"/>
  <c r="D8" i="1" s="1"/>
  <c r="P16" i="4"/>
  <c r="F8" i="1" s="1"/>
  <c r="G8" i="1" s="1"/>
  <c r="R16" i="4"/>
  <c r="F9" i="1" s="1"/>
  <c r="B16" i="4"/>
  <c r="B16" i="2"/>
  <c r="C16" i="2"/>
  <c r="E16" i="2"/>
  <c r="F16" i="2"/>
  <c r="H16" i="2"/>
  <c r="I16" i="2"/>
  <c r="M16" i="2"/>
  <c r="N16" i="2"/>
  <c r="O16" i="2"/>
  <c r="I3" i="1" s="1"/>
  <c r="P16" i="2"/>
  <c r="Q16" i="2"/>
  <c r="R16" i="2"/>
  <c r="S16" i="2"/>
  <c r="T16" i="2"/>
  <c r="U16" i="2"/>
  <c r="Y16" i="2"/>
  <c r="F3" i="1" s="1"/>
  <c r="E3" i="1"/>
  <c r="D3" i="1" s="1"/>
  <c r="BB16" i="2"/>
  <c r="AG16" i="2"/>
  <c r="K3" i="1" s="1"/>
  <c r="AH16" i="2"/>
  <c r="L3" i="1" s="1"/>
  <c r="AJ16" i="2"/>
  <c r="K4" i="1" s="1"/>
  <c r="M4" i="1" s="1"/>
  <c r="AF16" i="2"/>
  <c r="AI16" i="2"/>
  <c r="AL16" i="2"/>
  <c r="AQ16" i="2"/>
  <c r="AR16" i="2"/>
  <c r="AS16" i="2"/>
  <c r="AT16" i="2"/>
  <c r="AU16" i="2"/>
  <c r="AV16" i="2"/>
  <c r="AW16" i="2"/>
  <c r="AX16" i="2"/>
  <c r="AY16" i="2"/>
  <c r="BJ16" i="2"/>
  <c r="BC16" i="2"/>
  <c r="BD16" i="2"/>
  <c r="BF16" i="2"/>
  <c r="BG16" i="2"/>
  <c r="BE16" i="2"/>
  <c r="BH16" i="2"/>
  <c r="BI16" i="2"/>
  <c r="G7" i="1" l="1"/>
  <c r="J17" i="1"/>
  <c r="J12" i="1"/>
  <c r="P38" i="23"/>
  <c r="F51" i="23"/>
  <c r="F39" i="23"/>
  <c r="D13" i="1"/>
  <c r="G13" i="1" s="1"/>
  <c r="G12" i="1"/>
  <c r="D11" i="1"/>
  <c r="H3" i="1"/>
  <c r="J3" i="1" s="1"/>
  <c r="J11" i="1"/>
  <c r="G3" i="1"/>
  <c r="J7" i="1"/>
  <c r="H9" i="1"/>
  <c r="J9" i="1" s="1"/>
  <c r="H8" i="1"/>
  <c r="J8" i="1" s="1"/>
  <c r="J13" i="1"/>
  <c r="N7" i="1"/>
  <c r="P7" i="1" s="1"/>
  <c r="N11" i="1"/>
  <c r="P11" i="1" s="1"/>
  <c r="J5" i="1"/>
  <c r="N9" i="1"/>
  <c r="P9" i="1" s="1"/>
  <c r="F11" i="1"/>
  <c r="M11" i="1"/>
  <c r="N13" i="1"/>
  <c r="P13" i="1" s="1"/>
  <c r="O5" i="1"/>
  <c r="M3" i="1"/>
  <c r="N8" i="1"/>
  <c r="P8" i="1" s="1"/>
  <c r="N3" i="1"/>
  <c r="N12" i="1"/>
  <c r="P12" i="1" s="1"/>
  <c r="L12" i="1"/>
  <c r="M12" i="1" s="1"/>
  <c r="Q16" i="4"/>
  <c r="E9" i="1" s="1"/>
  <c r="D9" i="1" s="1"/>
  <c r="G9" i="1" s="1"/>
  <c r="BM16" i="2"/>
  <c r="BN16" i="2"/>
  <c r="BO16" i="2"/>
  <c r="O3" i="1" s="1"/>
  <c r="BP16" i="2"/>
  <c r="BQ16" i="2"/>
  <c r="BR16" i="2"/>
  <c r="O4" i="1" s="1"/>
  <c r="BS16" i="2"/>
  <c r="BU16" i="2"/>
  <c r="BT16" i="2"/>
  <c r="P39" i="23" l="1"/>
  <c r="P51" i="23"/>
  <c r="G11" i="1"/>
  <c r="N5" i="1"/>
  <c r="P5" i="1" s="1"/>
  <c r="N4" i="1"/>
  <c r="P4" i="1" s="1"/>
  <c r="P3" i="1"/>
  <c r="H16" i="16"/>
  <c r="I16" i="16"/>
  <c r="J16" i="16"/>
  <c r="I61" i="1" s="1"/>
  <c r="M16" i="16"/>
  <c r="E59" i="1" s="1"/>
  <c r="D59" i="1" s="1"/>
  <c r="N16" i="16"/>
  <c r="F59" i="1" s="1"/>
  <c r="O16" i="16"/>
  <c r="E60" i="1" s="1"/>
  <c r="D60" i="1" s="1"/>
  <c r="P16" i="16"/>
  <c r="F60" i="1" s="1"/>
  <c r="Q16" i="16"/>
  <c r="R16" i="16"/>
  <c r="F61" i="1" s="1"/>
  <c r="G60" i="1" l="1"/>
  <c r="J61" i="1"/>
  <c r="G59" i="1"/>
  <c r="E61" i="1"/>
  <c r="D61" i="1" s="1"/>
  <c r="G61" i="1" s="1"/>
  <c r="B16" i="16"/>
  <c r="C16" i="16"/>
  <c r="D16" i="16"/>
  <c r="E16" i="16"/>
  <c r="F16" i="16"/>
  <c r="G16" i="16"/>
  <c r="I60" i="1" s="1"/>
  <c r="AN16" i="14"/>
  <c r="O53" i="1" s="1"/>
  <c r="AM16" i="14"/>
  <c r="N53" i="1" s="1"/>
  <c r="AK16" i="14"/>
  <c r="O52" i="1" s="1"/>
  <c r="AJ16" i="14"/>
  <c r="N52" i="1" s="1"/>
  <c r="AH16" i="14"/>
  <c r="O51" i="1" s="1"/>
  <c r="AG16" i="14"/>
  <c r="N51" i="1" s="1"/>
  <c r="AF16" i="14"/>
  <c r="AC16" i="14"/>
  <c r="F53" i="1" s="1"/>
  <c r="AB16" i="14"/>
  <c r="E53" i="1" s="1"/>
  <c r="D53" i="1" s="1"/>
  <c r="AA16" i="14"/>
  <c r="F52" i="1" s="1"/>
  <c r="Z16" i="14"/>
  <c r="Y16" i="14"/>
  <c r="F51" i="1" s="1"/>
  <c r="G51" i="1" s="1"/>
  <c r="X16" i="14"/>
  <c r="E51" i="1" s="1"/>
  <c r="D51" i="1" s="1"/>
  <c r="AI16" i="14"/>
  <c r="AL16" i="14"/>
  <c r="EI16" i="12"/>
  <c r="EH16" i="12"/>
  <c r="EG16" i="12"/>
  <c r="EF16" i="12"/>
  <c r="EE16" i="12"/>
  <c r="ED16" i="12"/>
  <c r="EA16" i="12"/>
  <c r="DZ16" i="12"/>
  <c r="DY16" i="12"/>
  <c r="DX16" i="12"/>
  <c r="DW16" i="12"/>
  <c r="DV16" i="12"/>
  <c r="DU16" i="12"/>
  <c r="DT16" i="12"/>
  <c r="DS16" i="12"/>
  <c r="DP16" i="12"/>
  <c r="DO16" i="12"/>
  <c r="DN16" i="12"/>
  <c r="DM16" i="12"/>
  <c r="DL16" i="12"/>
  <c r="DK16" i="12"/>
  <c r="DJ16" i="12"/>
  <c r="DI16" i="12"/>
  <c r="DH16" i="12"/>
  <c r="DE16" i="12"/>
  <c r="DD16" i="12"/>
  <c r="DC16" i="12"/>
  <c r="DB16" i="12"/>
  <c r="DA16" i="12"/>
  <c r="CZ16" i="12"/>
  <c r="CX16" i="12"/>
  <c r="CW16" i="12"/>
  <c r="CT16" i="12"/>
  <c r="CS16" i="12"/>
  <c r="CR16" i="12"/>
  <c r="CQ16" i="12"/>
  <c r="CP16" i="12"/>
  <c r="CO16" i="12"/>
  <c r="CN16" i="12"/>
  <c r="CM16" i="12"/>
  <c r="CL16" i="12"/>
  <c r="CI16" i="12"/>
  <c r="CH16" i="12"/>
  <c r="CG16" i="12"/>
  <c r="CF16" i="12"/>
  <c r="CE16" i="12"/>
  <c r="CD16" i="12"/>
  <c r="CC16" i="12"/>
  <c r="CB16" i="12"/>
  <c r="CA16" i="12"/>
  <c r="BX16" i="12"/>
  <c r="BW16" i="12"/>
  <c r="BV16" i="12"/>
  <c r="BU16" i="12"/>
  <c r="BT16" i="12"/>
  <c r="BS16" i="12"/>
  <c r="BR16" i="12"/>
  <c r="BQ16" i="12"/>
  <c r="BP16" i="12"/>
  <c r="BM16" i="12"/>
  <c r="BL16" i="12"/>
  <c r="BK16" i="12"/>
  <c r="BJ16" i="12"/>
  <c r="BI16" i="12"/>
  <c r="BH16" i="12"/>
  <c r="BG16" i="12"/>
  <c r="BF16" i="12"/>
  <c r="BE16" i="12"/>
  <c r="BB16" i="12"/>
  <c r="BA16" i="12"/>
  <c r="AZ16" i="12"/>
  <c r="AY16" i="12"/>
  <c r="AX16" i="12"/>
  <c r="AW16" i="12"/>
  <c r="AV16" i="12"/>
  <c r="AU16" i="12"/>
  <c r="AT16" i="12"/>
  <c r="AQ16" i="12"/>
  <c r="AP16" i="12"/>
  <c r="AO16" i="12"/>
  <c r="AN16" i="12"/>
  <c r="F44" i="1" s="1"/>
  <c r="AM16" i="12"/>
  <c r="E44" i="1" s="1"/>
  <c r="D44" i="1" s="1"/>
  <c r="AL16" i="12"/>
  <c r="AK16" i="12"/>
  <c r="AJ16" i="12"/>
  <c r="AI16" i="12"/>
  <c r="AF16" i="12"/>
  <c r="AE16" i="12"/>
  <c r="AD16" i="12"/>
  <c r="AC16" i="12"/>
  <c r="AB16" i="12"/>
  <c r="AA16" i="12"/>
  <c r="Z16" i="12"/>
  <c r="Y16" i="12"/>
  <c r="X16" i="12"/>
  <c r="U16" i="12"/>
  <c r="T16" i="12"/>
  <c r="S16" i="12"/>
  <c r="R16" i="12"/>
  <c r="Q16" i="12"/>
  <c r="P16" i="12"/>
  <c r="O16" i="12"/>
  <c r="N16" i="12"/>
  <c r="M16" i="12"/>
  <c r="J16" i="12"/>
  <c r="I45" i="1" s="1"/>
  <c r="I16" i="12"/>
  <c r="H45" i="1" s="1"/>
  <c r="H16" i="12"/>
  <c r="G16" i="12"/>
  <c r="F16" i="12"/>
  <c r="E16" i="12"/>
  <c r="B16" i="12"/>
  <c r="EJ16" i="12"/>
  <c r="G44" i="1" l="1"/>
  <c r="J60" i="1"/>
  <c r="G53" i="1"/>
  <c r="J45" i="1"/>
  <c r="E45" i="1"/>
  <c r="D45" i="1" s="1"/>
  <c r="E52" i="1"/>
  <c r="D52" i="1" s="1"/>
  <c r="G52" i="1" s="1"/>
  <c r="P44" i="1"/>
  <c r="H43" i="1"/>
  <c r="H44" i="1"/>
  <c r="E43" i="1"/>
  <c r="D43" i="1" s="1"/>
  <c r="F43" i="1"/>
  <c r="G43" i="1" s="1"/>
  <c r="I43" i="1"/>
  <c r="J43" i="1" s="1"/>
  <c r="F45" i="1"/>
  <c r="P51" i="1"/>
  <c r="P52" i="1"/>
  <c r="I44" i="1"/>
  <c r="P53" i="1"/>
  <c r="G45" i="1" l="1"/>
  <c r="J44" i="1"/>
  <c r="P43" i="1"/>
  <c r="P45" i="1"/>
  <c r="J4" i="1"/>
  <c r="I53" i="1"/>
  <c r="J53" i="1" s="1"/>
  <c r="T16" i="15"/>
</calcChain>
</file>

<file path=xl/comments1.xml><?xml version="1.0" encoding="utf-8"?>
<comments xmlns="http://schemas.openxmlformats.org/spreadsheetml/2006/main">
  <authors>
    <author>Autor</author>
  </authors>
  <commentList>
    <comment ref="I17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charset val="1"/>
          </rPr>
          <t xml:space="preserve">
z r. 2021
(údaje za 2022 nebyly kompletní)</t>
        </r>
      </text>
    </comment>
    <comment ref="E22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spotřeba tepla z vlastní plynové kotelny</t>
        </r>
      </text>
    </comment>
    <comment ref="M2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 r. 2019</t>
        </r>
      </text>
    </comment>
    <comment ref="M2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 r. 2019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 r.2019</t>
        </r>
      </text>
    </comment>
    <comment ref="O3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cena vodného a stočného</t>
        </r>
      </text>
    </comment>
    <comment ref="O3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cena vodného a stočného  
</t>
        </r>
      </text>
    </comment>
    <comment ref="O3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cena vodného a stočného  
</t>
        </r>
      </text>
    </comment>
    <comment ref="O37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cena vodného a stočného  
</t>
        </r>
      </text>
    </comment>
    <comment ref="O3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cena vodného a stočného  
</t>
        </r>
      </text>
    </comment>
    <comment ref="O3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cena vodného a stočného  
</t>
        </r>
      </text>
    </comment>
    <comment ref="O40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cena vodného a stočného  
</t>
        </r>
      </text>
    </comment>
    <comment ref="O4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cena vodného a stočného  
</t>
        </r>
      </text>
    </comment>
    <comment ref="G42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TEPLO Z VLASTNÍ OBJEKTOVÉ PLYNOVÉ KOTELNY</t>
        </r>
      </text>
    </comment>
    <comment ref="O42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cena vodného a stočného  
</t>
        </r>
      </text>
    </comment>
    <comment ref="O4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cena vodného a stočného  
</t>
        </r>
      </text>
    </comment>
    <comment ref="O4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cena vodného a stočného  
</t>
        </r>
      </text>
    </comment>
    <comment ref="K45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velkoodběr</t>
        </r>
      </text>
    </comment>
    <comment ref="O45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cena vodného a stočného  
</t>
        </r>
      </text>
    </comment>
    <comment ref="O4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cena vodného a stočného  
</t>
        </r>
      </text>
    </comment>
    <comment ref="O47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cena vodného a stočného  
</t>
        </r>
      </text>
    </comment>
    <comment ref="K48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velkoodběr</t>
        </r>
      </text>
    </comment>
    <comment ref="O48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cena vodného a stočného  
</t>
        </r>
      </text>
    </comment>
    <comment ref="K49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velkoodběr</t>
        </r>
      </text>
    </comment>
    <comment ref="O49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cena vodného a stočného  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H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včetně jídelny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AQ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Riegrova 454/12</t>
        </r>
      </text>
    </comment>
    <comment ref="BB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Riegrova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EAN 859182400406892471
</t>
        </r>
      </text>
    </comment>
    <comment ref="M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EAN 859182400408329012</t>
        </r>
      </text>
    </comment>
    <comment ref="O4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chybí faktura na správný přepočet, tento je ze SW dle počtu dní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B1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Oblouková
EAN 859182400407140442</t>
        </r>
      </text>
    </comment>
  </commentList>
</comments>
</file>

<file path=xl/sharedStrings.xml><?xml version="1.0" encoding="utf-8"?>
<sst xmlns="http://schemas.openxmlformats.org/spreadsheetml/2006/main" count="1802" uniqueCount="328">
  <si>
    <t>elektroměr</t>
  </si>
  <si>
    <t>kWh</t>
  </si>
  <si>
    <t>kWh (z faktur)</t>
  </si>
  <si>
    <t>Kč</t>
  </si>
  <si>
    <t>Celkem</t>
  </si>
  <si>
    <t>vodoměr</t>
  </si>
  <si>
    <t>m3</t>
  </si>
  <si>
    <t>m3 (z faktur)</t>
  </si>
  <si>
    <t>Objekt</t>
  </si>
  <si>
    <t>ZŠ Březová</t>
  </si>
  <si>
    <t>ZŠ Na Pěšině</t>
  </si>
  <si>
    <t>ZŠ Školní</t>
  </si>
  <si>
    <t>MŠ Školní</t>
  </si>
  <si>
    <t>ZŠ Kosmonautů</t>
  </si>
  <si>
    <t>MŠ Kosmonautů</t>
  </si>
  <si>
    <t>ŠJ Sládkova</t>
  </si>
  <si>
    <t>Městské divadlo</t>
  </si>
  <si>
    <t>ZŠ Vojanova</t>
  </si>
  <si>
    <t>MŠ Riegrova</t>
  </si>
  <si>
    <t>ZŠ Míru, Boletice</t>
  </si>
  <si>
    <t>Knihovna</t>
  </si>
  <si>
    <t>Kino</t>
  </si>
  <si>
    <t>Zimák</t>
  </si>
  <si>
    <t>Aquapark</t>
  </si>
  <si>
    <t>č.</t>
  </si>
  <si>
    <t>rok</t>
  </si>
  <si>
    <t>elektřina</t>
  </si>
  <si>
    <t>plyn</t>
  </si>
  <si>
    <t>voda</t>
  </si>
  <si>
    <t>teplo</t>
  </si>
  <si>
    <t>Přehled spotřeby</t>
  </si>
  <si>
    <t>B1</t>
  </si>
  <si>
    <t>měřič tepla</t>
  </si>
  <si>
    <t>Městská knihovna</t>
  </si>
  <si>
    <t>ZŠ Míru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</si>
  <si>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</si>
  <si>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</si>
  <si>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</si>
  <si>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</si>
  <si>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</si>
  <si>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</si>
  <si>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</si>
  <si>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</si>
  <si>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</si>
  <si>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</si>
  <si>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</si>
  <si>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</si>
  <si>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elektroměr - ŠJ</t>
  </si>
  <si>
    <t>elektroměr - ZŠ</t>
  </si>
  <si>
    <t>vodoměr - ŠJ</t>
  </si>
  <si>
    <t>vodoměr - šatny</t>
  </si>
  <si>
    <t>vodoměr - sklep</t>
  </si>
  <si>
    <t>měřič tepla - ZŠ + ŠK</t>
  </si>
  <si>
    <t>měřič tepla - ZŠ</t>
  </si>
  <si>
    <t>kWh (odečty)</t>
  </si>
  <si>
    <t>plynoměr - ZŠ</t>
  </si>
  <si>
    <t>vodoměr - MŠ</t>
  </si>
  <si>
    <t>plynoměr - MŠ</t>
  </si>
  <si>
    <t>měřič tepla - MŠ</t>
  </si>
  <si>
    <t>elektroměr - pavilon L</t>
  </si>
  <si>
    <t>elektroměr - tř. D</t>
  </si>
  <si>
    <t>elektroměr - ABC</t>
  </si>
  <si>
    <t>elektroměr - HP</t>
  </si>
  <si>
    <t>vodoměr - ZŠ</t>
  </si>
  <si>
    <t>elektroměr - MŠ</t>
  </si>
  <si>
    <t>měřič tepla - ŠJ</t>
  </si>
  <si>
    <t>plynoměr - ŠJ</t>
  </si>
  <si>
    <t xml:space="preserve">kWh </t>
  </si>
  <si>
    <t>elektroměr - motory</t>
  </si>
  <si>
    <t>plynoměr - pav. B</t>
  </si>
  <si>
    <t>elektroměr - Voj. 178/12</t>
  </si>
  <si>
    <t>plynoměr - Voj. 178/12</t>
  </si>
  <si>
    <t>plynoměr - ZŠ TERMO</t>
  </si>
  <si>
    <t>elektroměr - 13</t>
  </si>
  <si>
    <t>elektroměr - 14</t>
  </si>
  <si>
    <t>elektroměr - 15</t>
  </si>
  <si>
    <t>elektroměr - nová zástavba</t>
  </si>
  <si>
    <t>elektroměr - centrum</t>
  </si>
  <si>
    <t>elektroměr - stará zástavba</t>
  </si>
  <si>
    <t>měřič tepla - stará budova</t>
  </si>
  <si>
    <t>měřič tepla - nová ZŠ</t>
  </si>
  <si>
    <t>vodoměr - dílny</t>
  </si>
  <si>
    <t>vodoměr - družiny</t>
  </si>
  <si>
    <t>vodoměr - nová budova</t>
  </si>
  <si>
    <t>vodoměr - pavilony</t>
  </si>
  <si>
    <t>vodoměr - stará budova</t>
  </si>
  <si>
    <t>vodoměr - stará TV</t>
  </si>
  <si>
    <t>vodoměr - družiny TUV</t>
  </si>
  <si>
    <t>vodoměr - nová budova TUV</t>
  </si>
  <si>
    <t xml:space="preserve">měřič tepla </t>
  </si>
  <si>
    <t>vodoměr - Pesle</t>
  </si>
  <si>
    <t>vodoměr - VRT</t>
  </si>
  <si>
    <t>vodoměr - Hala</t>
  </si>
  <si>
    <t>vodoměr - Voj. 178/12</t>
  </si>
  <si>
    <t>elektroměr - I.</t>
  </si>
  <si>
    <t>elektroměr - II.</t>
  </si>
  <si>
    <t>3858</t>
  </si>
  <si>
    <t>494</t>
  </si>
  <si>
    <t>207</t>
  </si>
  <si>
    <t>1238</t>
  </si>
  <si>
    <t>MWh</t>
  </si>
  <si>
    <t>Poznámka</t>
  </si>
  <si>
    <t>Bazén</t>
  </si>
  <si>
    <t>Kuchyně</t>
  </si>
  <si>
    <t>ID</t>
  </si>
  <si>
    <t>EAN 
859182400406581450</t>
  </si>
  <si>
    <t>EAN 
859182400406581443</t>
  </si>
  <si>
    <t>EAN 
859182400403140872</t>
  </si>
  <si>
    <t>EAN 
859182400406581436</t>
  </si>
  <si>
    <t>teplo z objektové kotelny</t>
  </si>
  <si>
    <t>odběratelem je TERMO</t>
  </si>
  <si>
    <t>celá budova</t>
  </si>
  <si>
    <t>jednotka</t>
  </si>
  <si>
    <t>OM</t>
  </si>
  <si>
    <t>vaření v kuchyni</t>
  </si>
  <si>
    <t>cvičná kuchyňka</t>
  </si>
  <si>
    <t>býv. byt ??</t>
  </si>
  <si>
    <t>Škola</t>
  </si>
  <si>
    <t>…. (doplnit)</t>
  </si>
  <si>
    <t>řády !?</t>
  </si>
  <si>
    <t>???</t>
  </si>
  <si>
    <t>Kč/MWh</t>
  </si>
  <si>
    <t>GJ</t>
  </si>
  <si>
    <t>Kč/GJ</t>
  </si>
  <si>
    <t>Kč/m3</t>
  </si>
  <si>
    <t>neúplný rok</t>
  </si>
  <si>
    <t>žádná data</t>
  </si>
  <si>
    <t>-</t>
  </si>
  <si>
    <t>neúplné podklady a data</t>
  </si>
  <si>
    <t>poslední faktura je od 13.05.2020 - 05.05.2021</t>
  </si>
  <si>
    <t>poslední faktura je od 06.05.2020 - 05.05.2021</t>
  </si>
  <si>
    <t>úprava na MWh</t>
  </si>
  <si>
    <t>Magistrát B1+B2</t>
  </si>
  <si>
    <t>B2</t>
  </si>
  <si>
    <t>z faktury Termo</t>
  </si>
  <si>
    <t>Přehled odběrů v GJ po měsících od ledna 2017 do října 2018</t>
  </si>
  <si>
    <t>ZŠ+ ŠJ Březová 369/25</t>
  </si>
  <si>
    <t>ZŠ Kosmonautů 177</t>
  </si>
  <si>
    <t>MŠ Kosmonautů 178</t>
  </si>
  <si>
    <t>ZŠ Vojanova 178/12</t>
  </si>
  <si>
    <t>MŠ Školní 1475/17</t>
  </si>
  <si>
    <t>ZŠ Školní 1544/5</t>
  </si>
  <si>
    <t>ZŠ Míru 152B</t>
  </si>
  <si>
    <t>ZŠ Míru 152A</t>
  </si>
  <si>
    <t>MŠ Riegrova 454/12</t>
  </si>
  <si>
    <t>Kč vč. DPH</t>
  </si>
  <si>
    <t>859182400407140441</t>
  </si>
  <si>
    <t>EAN</t>
  </si>
  <si>
    <t>Oblouková 638</t>
  </si>
  <si>
    <t>neuvažovat</t>
  </si>
  <si>
    <t>Kwh</t>
  </si>
  <si>
    <t>kWH</t>
  </si>
  <si>
    <t xml:space="preserve">Kč </t>
  </si>
  <si>
    <t>zatím není nová FA k dispozici</t>
  </si>
  <si>
    <t>odběratelem je TERMO, účtuje teplo</t>
  </si>
  <si>
    <t>zatím není k dispozici celý rok</t>
  </si>
  <si>
    <t>Tabulka 1</t>
  </si>
  <si>
    <r>
      <t xml:space="preserve">Cena za realizaci jednotlivých opatření v Kč </t>
    </r>
    <r>
      <rPr>
        <b/>
        <sz val="10"/>
        <color rgb="FFFF0000"/>
        <rFont val="Calibri"/>
        <family val="2"/>
        <charset val="238"/>
        <scheme val="minor"/>
      </rPr>
      <t>vč. DPH</t>
    </r>
  </si>
  <si>
    <t>objekt č.</t>
  </si>
  <si>
    <t>název</t>
  </si>
  <si>
    <r>
      <t xml:space="preserve">Investice celkem       
</t>
    </r>
    <r>
      <rPr>
        <b/>
        <sz val="10"/>
        <color rgb="FFFF0000"/>
        <rFont val="Calibri"/>
        <family val="2"/>
        <charset val="238"/>
        <scheme val="minor"/>
      </rPr>
      <t xml:space="preserve"> (Kč vč. DPH)</t>
    </r>
  </si>
  <si>
    <t>název opatření</t>
  </si>
  <si>
    <t>Opatření 1</t>
  </si>
  <si>
    <t>Opatření 2</t>
  </si>
  <si>
    <t>Opatření 3</t>
  </si>
  <si>
    <t>Opatření 4</t>
  </si>
  <si>
    <t>Opatření 5</t>
  </si>
  <si>
    <t>Opatření 6</t>
  </si>
  <si>
    <t>Opatření 7</t>
  </si>
  <si>
    <t>Opatření 8</t>
  </si>
  <si>
    <t>Opatření 9</t>
  </si>
  <si>
    <t>Opatření 10</t>
  </si>
  <si>
    <t>Opatření 11</t>
  </si>
  <si>
    <t>Opatření 12</t>
  </si>
  <si>
    <t>Opatření 13</t>
  </si>
  <si>
    <t>Opatření 14</t>
  </si>
  <si>
    <t>Opatření 15</t>
  </si>
  <si>
    <t>Opatření 16</t>
  </si>
  <si>
    <t>Opatření 17</t>
  </si>
  <si>
    <t>Opatření 18</t>
  </si>
  <si>
    <t>Opatření 19</t>
  </si>
  <si>
    <t>Opatření 20</t>
  </si>
  <si>
    <t>vyplnit --&gt;</t>
  </si>
  <si>
    <t>včetně DPH</t>
  </si>
  <si>
    <t>CELKEM</t>
  </si>
  <si>
    <t>Tabulka 2</t>
  </si>
  <si>
    <r>
      <t>Úspora z jednotlivých opatření v Kč/rok</t>
    </r>
    <r>
      <rPr>
        <b/>
        <sz val="10"/>
        <color rgb="FFFF0000"/>
        <rFont val="Calibri"/>
        <family val="2"/>
        <charset val="238"/>
        <scheme val="minor"/>
      </rPr>
      <t xml:space="preserve"> vč. DPH</t>
    </r>
    <r>
      <rPr>
        <b/>
        <sz val="10"/>
        <rFont val="Calibri"/>
        <family val="2"/>
        <charset val="238"/>
        <scheme val="minor"/>
      </rPr>
      <t xml:space="preserve"> (modelový rok)</t>
    </r>
  </si>
  <si>
    <r>
      <t xml:space="preserve">Úspora celkem        (Kč/rok </t>
    </r>
    <r>
      <rPr>
        <b/>
        <sz val="10"/>
        <color rgb="FFFF0000"/>
        <rFont val="Calibri"/>
        <family val="2"/>
        <charset val="238"/>
        <scheme val="minor"/>
      </rPr>
      <t>vč. DPH</t>
    </r>
    <r>
      <rPr>
        <b/>
        <sz val="10"/>
        <rFont val="Calibri"/>
        <family val="2"/>
        <charset val="238"/>
        <scheme val="minor"/>
      </rPr>
      <t>)</t>
    </r>
  </si>
  <si>
    <t>Ostatní provozní náklady</t>
  </si>
  <si>
    <t>Tabulka 3</t>
  </si>
  <si>
    <t>Úspora z jednotlivých opatření v technických jednotkách (modelový rok)</t>
  </si>
  <si>
    <t xml:space="preserve">název </t>
  </si>
  <si>
    <t>Úspora celkem        
(v technických jednotkách)</t>
  </si>
  <si>
    <t>Teplo</t>
  </si>
  <si>
    <t>Elektřina</t>
  </si>
  <si>
    <t>Voda</t>
  </si>
  <si>
    <t>(GJ/rok)</t>
  </si>
  <si>
    <t>(MWh/rok)</t>
  </si>
  <si>
    <r>
      <t>(m</t>
    </r>
    <r>
      <rPr>
        <b/>
        <vertAlign val="superscript"/>
        <sz val="10"/>
        <color theme="1"/>
        <rFont val="Calibri"/>
        <family val="2"/>
        <charset val="238"/>
        <scheme val="minor"/>
      </rPr>
      <t>3</t>
    </r>
    <r>
      <rPr>
        <b/>
        <sz val="10"/>
        <color theme="1"/>
        <rFont val="Calibri"/>
        <family val="2"/>
        <charset val="238"/>
        <scheme val="minor"/>
      </rPr>
      <t>/rok)</t>
    </r>
  </si>
  <si>
    <t>úspora (vyplnit)</t>
  </si>
  <si>
    <t>úspora</t>
  </si>
  <si>
    <t>Tabulka 4</t>
  </si>
  <si>
    <t>Úspora z jednotlivých opatření ve finančních nákladech (modelový rok)</t>
  </si>
  <si>
    <t>Úspora celkem        (Kč/rok vč. DPH)</t>
  </si>
  <si>
    <t>Ost. náklady</t>
  </si>
  <si>
    <t>(Kč/rok)</t>
  </si>
  <si>
    <t>kontrola</t>
  </si>
  <si>
    <t>Roky poskytnuté záruky</t>
  </si>
  <si>
    <t>Referenční rok</t>
  </si>
  <si>
    <t>rok z období garance</t>
  </si>
  <si>
    <t>celkem za počet let hodnocení</t>
  </si>
  <si>
    <t>řádek</t>
  </si>
  <si>
    <r>
      <t>A - Výchozí spotřeba energie v technických jednotkách a náklady na spotřebu energie po dobu trvání kontraktu [GJ, MWh, m</t>
    </r>
    <r>
      <rPr>
        <b/>
        <i/>
        <vertAlign val="superscript"/>
        <sz val="10"/>
        <rFont val="Calibri"/>
        <family val="2"/>
        <charset val="238"/>
        <scheme val="minor"/>
      </rPr>
      <t>3</t>
    </r>
    <r>
      <rPr>
        <b/>
        <i/>
        <sz val="10"/>
        <rFont val="Calibri"/>
        <family val="2"/>
        <charset val="238"/>
        <scheme val="minor"/>
      </rPr>
      <t>, Kč vč. DPH]</t>
    </r>
  </si>
  <si>
    <t>Teplo [GJ]</t>
  </si>
  <si>
    <t>Elektřina [MWh]</t>
  </si>
  <si>
    <t>Teplo [Kč vč. DPH]</t>
  </si>
  <si>
    <t>Elektřina [Kč vč. DPH]</t>
  </si>
  <si>
    <t>Voda [Kč vč. DPH]</t>
  </si>
  <si>
    <t>Ostatní provozní náklady [Kč vč. DPH]</t>
  </si>
  <si>
    <t>A</t>
  </si>
  <si>
    <t>B - Zaručená spotřeba energie v technických jednotkách a náklady na spotřebu energie a ostatní náklady po dobu trvání kontraktu [GJ, MWh, m3, Kč vč. DPH]</t>
  </si>
  <si>
    <t>po realizaci</t>
  </si>
  <si>
    <t>B</t>
  </si>
  <si>
    <t>C - Výše zaručených úspor [GJ, MWh, m3, Kč vč. DPH]</t>
  </si>
  <si>
    <t>C = A - B</t>
  </si>
  <si>
    <t>C</t>
  </si>
  <si>
    <t>Celkový objem zaručených úspor (hodnocení - kritérium 2)</t>
  </si>
  <si>
    <t>D – Nabídková cena [Kč vč. DPH]</t>
  </si>
  <si>
    <t>náklady na realizaci opatření</t>
  </si>
  <si>
    <t>Výše investičních nákladů</t>
  </si>
  <si>
    <t>kontrola (musí souhlasit s Tabulkou 1 v předchozím listu)</t>
  </si>
  <si>
    <t>financování zakázky (úvěr)</t>
  </si>
  <si>
    <t>Cena za financování zakázky (objem úroků)</t>
  </si>
  <si>
    <t>splátka IN+úroky</t>
  </si>
  <si>
    <t>celková splátka IN+úroků</t>
  </si>
  <si>
    <t>energetický management</t>
  </si>
  <si>
    <t xml:space="preserve">Cena za výkon eneregtického managementu </t>
  </si>
  <si>
    <t>ostatní služby</t>
  </si>
  <si>
    <t xml:space="preserve">Cena za další služby </t>
  </si>
  <si>
    <t>D = 34 + 35 + 36</t>
  </si>
  <si>
    <t>D</t>
  </si>
  <si>
    <t>Celková nabídková cena (hodnocení  - kritérium 1)</t>
  </si>
  <si>
    <t>E - CashFlow projektu = Rozdíl celkové nabídkové ceny a celkových zaručených úspor [Kč vč. DPH]</t>
  </si>
  <si>
    <t>E = D - C</t>
  </si>
  <si>
    <t>E</t>
  </si>
  <si>
    <t>Rozdíl celkové nabídkové ceny a celkových zaručených úspor</t>
  </si>
  <si>
    <t xml:space="preserve">(v případě kladné hodnoty se jedná o "spoluúčast zadavatele") </t>
  </si>
  <si>
    <t xml:space="preserve">(v případě záporné hodnoty se jedná o "nadúsporu") </t>
  </si>
  <si>
    <t>POVINNÁ CENOVÁ PŘÍLOHA - PODKLAD PRO VYPLNĚNÍ</t>
  </si>
  <si>
    <t>1. CENA ZA REALIZACI ÚSPORNÝCH OPATŘENÍ</t>
  </si>
  <si>
    <t>Cena za realizaci úsporných opatření celkem (bez DPH)</t>
  </si>
  <si>
    <t>DPH</t>
  </si>
  <si>
    <t>Cena za realizaci úsporných opatření celkem (včetně DPH)</t>
  </si>
  <si>
    <t>2. CENA ZA ZAJIŠTĚNÍ FINANCOVÁNÍ ZAKÁZKY</t>
  </si>
  <si>
    <r>
      <t>Cena za poskytnutí dodavatelského úvěru</t>
    </r>
    <r>
      <rPr>
        <i/>
        <sz val="10"/>
        <color theme="1"/>
        <rFont val="Calibri"/>
        <family val="2"/>
        <charset val="238"/>
        <scheme val="minor"/>
      </rPr>
      <t xml:space="preserve"> (nepodlého DPH, ale zahrnuje její profinancování)</t>
    </r>
  </si>
  <si>
    <t>3. CENA ZA DALŠÍ SLUŽBY</t>
  </si>
  <si>
    <t>cena za výkon energetického managementu (bez DPH)</t>
  </si>
  <si>
    <t>cena za další služby (bez DPH)</t>
  </si>
  <si>
    <t>Cena za další služby celkem (bez DPH)</t>
  </si>
  <si>
    <t>Cena za další služby celkem (včetně DPH)</t>
  </si>
  <si>
    <t>4. CELKOVÁ CENA</t>
  </si>
  <si>
    <t>Cena celkem (bez DPH)</t>
  </si>
  <si>
    <t>Cena celkem (včetně DPH)</t>
  </si>
  <si>
    <t>REFERENČNÍ ÚDAJE</t>
  </si>
  <si>
    <r>
      <rPr>
        <b/>
        <sz val="10"/>
        <color theme="1"/>
        <rFont val="Calibri"/>
        <family val="2"/>
        <charset val="238"/>
        <scheme val="minor"/>
      </rPr>
      <t>Referenční spotřeby</t>
    </r>
    <r>
      <rPr>
        <sz val="10"/>
        <color theme="1"/>
        <rFont val="Calibri"/>
        <family val="2"/>
        <charset val="238"/>
        <scheme val="minor"/>
      </rPr>
      <t xml:space="preserve"> budov odpovídají spotřebám z kalendářního </t>
    </r>
    <r>
      <rPr>
        <b/>
        <sz val="10"/>
        <color theme="1"/>
        <rFont val="Calibri"/>
        <family val="2"/>
        <charset val="238"/>
        <scheme val="minor"/>
      </rPr>
      <t xml:space="preserve">roku 2022 </t>
    </r>
    <r>
      <rPr>
        <sz val="10"/>
        <color theme="1"/>
        <rFont val="Calibri"/>
        <family val="2"/>
        <charset val="238"/>
        <scheme val="minor"/>
      </rPr>
      <t>- viz detail každé budovy.</t>
    </r>
  </si>
  <si>
    <t>Referenční náklady jsou stanoveny jako součin referenčních spotřeb a referenčních jednotkových cen.</t>
  </si>
  <si>
    <r>
      <t xml:space="preserve">- </t>
    </r>
    <r>
      <rPr>
        <b/>
        <sz val="10"/>
        <color rgb="FFFF0000"/>
        <rFont val="Calibri"/>
        <family val="2"/>
        <charset val="238"/>
        <scheme val="minor"/>
      </rPr>
      <t xml:space="preserve">referenční ceny </t>
    </r>
    <r>
      <rPr>
        <sz val="10"/>
        <color rgb="FFFF0000"/>
        <rFont val="Calibri"/>
        <family val="2"/>
        <charset val="238"/>
        <scheme val="minor"/>
      </rPr>
      <t>byly jsou stanoveny zadavatelem s ohledem na aktuální trend vývoje cen.</t>
    </r>
  </si>
  <si>
    <t>- referenční ceny vody odpovídají cenám vodného a stočného, resp. nezahrnují paušální platbu za srážkovou vodu.</t>
  </si>
  <si>
    <t>REFERENČNÍ SPOTŘEBY A NÁKLADY</t>
  </si>
  <si>
    <t>TEPLO</t>
  </si>
  <si>
    <t>ELEKTŘINA</t>
  </si>
  <si>
    <t>VODA</t>
  </si>
  <si>
    <t>OSTATNÍ PROVOZNÍ NÁKLADY</t>
  </si>
  <si>
    <t>REFERENČNÍ NÁKLADY CELKEM</t>
  </si>
  <si>
    <t>spotřeba</t>
  </si>
  <si>
    <t>náklady</t>
  </si>
  <si>
    <t>platba</t>
  </si>
  <si>
    <t>Kč bez DPH</t>
  </si>
  <si>
    <r>
      <t>m</t>
    </r>
    <r>
      <rPr>
        <b/>
        <vertAlign val="superscript"/>
        <sz val="10"/>
        <color theme="1"/>
        <rFont val="Calibri"/>
        <family val="2"/>
        <charset val="238"/>
        <scheme val="minor"/>
      </rPr>
      <t>3</t>
    </r>
  </si>
  <si>
    <t>REFERENČNÍ CENY ENERGIE A VODY</t>
  </si>
  <si>
    <t>(pro vyčíslení a vyhodnocení úspor)</t>
  </si>
  <si>
    <r>
      <t>Kč/m</t>
    </r>
    <r>
      <rPr>
        <b/>
        <vertAlign val="superscript"/>
        <sz val="10"/>
        <rFont val="Calibri"/>
        <family val="2"/>
        <charset val="238"/>
        <scheme val="minor"/>
      </rPr>
      <t>3</t>
    </r>
  </si>
  <si>
    <t>REFERENČNÍ KLIMADATA - ÚSTÍ NAD LABEM</t>
  </si>
  <si>
    <t>https://vytapeni.tzb-info.cz/tabulky-a-vypocty/103-vypocet-denostupnu?stanice=36&amp;action=1&amp;otopne_obdobi=&amp;start_day=01&amp;start_month=01&amp;start_year=2022&amp;end_day=31&amp;end_month=12&amp;end_year=2022&amp;ti=20&amp;tem=13.0&amp;chkbox_sumtbl=1&amp;chkbox_deg=1&amp;chkbox_dnu=1&amp;chkbox_prumerne_teploty=1&amp;deg_x=740&amp;deg_y=270&amp;otop_dny_x=740&amp;otop_dny_y=270&amp;prum_teploty_x=740&amp;prum_teploty_y=270</t>
  </si>
  <si>
    <t>oblast:</t>
  </si>
  <si>
    <t>Ústí nad Labem (379 m n.m.)</t>
  </si>
  <si>
    <t>ti:</t>
  </si>
  <si>
    <t>°C</t>
  </si>
  <si>
    <t>Období - rok 2019</t>
  </si>
  <si>
    <t>te</t>
  </si>
  <si>
    <t>d</t>
  </si>
  <si>
    <t>%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</si>
  <si>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</si>
  <si>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</si>
  <si>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</si>
  <si>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</si>
  <si>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</si>
  <si>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</si>
  <si>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</si>
  <si>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</si>
  <si>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</si>
  <si>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</si>
  <si>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</si>
  <si>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</si>
  <si>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(převzaty počty topných dnů a teploty, dopočteny denostupně)</t>
  </si>
  <si>
    <t>ZŠ a MŠ Březová</t>
  </si>
  <si>
    <t>Zimní stadion</t>
  </si>
  <si>
    <t>VODA Z VRTU</t>
  </si>
  <si>
    <t>Voda z vrtu</t>
  </si>
  <si>
    <t>Voda [m3]</t>
  </si>
  <si>
    <r>
      <t>Voda z vrtu [m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]</t>
    </r>
  </si>
  <si>
    <t>Voda z vrtu [Kč vč. DPH]</t>
  </si>
  <si>
    <t>A =  5 + 6 + 7 + 8 + 9</t>
  </si>
  <si>
    <t>B = 14 + 15 + 16 + 17 + 18</t>
  </si>
  <si>
    <t>cena EL 2022</t>
  </si>
  <si>
    <t xml:space="preserve">navýšení o </t>
  </si>
  <si>
    <t>velkoodběr</t>
  </si>
  <si>
    <t>Nde</t>
  </si>
  <si>
    <t>Cse</t>
  </si>
  <si>
    <t>celkem</t>
  </si>
  <si>
    <t>Te</t>
  </si>
  <si>
    <t>Tv</t>
  </si>
  <si>
    <t>jen VT</t>
  </si>
  <si>
    <t>vodné/Kč</t>
  </si>
  <si>
    <t>množství/m3</t>
  </si>
  <si>
    <t>stočné/Kč</t>
  </si>
  <si>
    <t>Celkem s DPH</t>
  </si>
  <si>
    <t>Výjimkou je spotřeba vody u MŠ Riegrova a Aquaparku, kde jsou za referenční považovány spotřeby z r. 2019, a dále spotřeba elektřiny u MŠ Školní, kde je za referenční považována spotřeba z r.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</si>
</sst>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Kč&quot;_-;\-* #,##0.00\ &quot;Kč&quot;_-;_-* &quot;-&quot;??\ &quot;Kč&quot;_-;_-@_-"/>
    <numFmt numFmtId="164" formatCode="0.0"/>
    <numFmt numFmtId="165" formatCode="0.000"/>
    <numFmt numFmtId="166" formatCode="0.0000"/>
    <numFmt numFmtId="167" formatCode="#,##0.000"/>
    <numFmt numFmtId="168" formatCode="#,##0.00\ &quot;Kč&quot;"/>
    <numFmt numFmtId="169" formatCode="#,##0.0"/>
    <numFmt numFmtId="170" formatCode="0.0%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charset val="238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1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7"/>
      <color rgb="FF00568E"/>
      <name val="ArialMT"/>
    </font>
    <font>
      <b/>
      <sz val="11"/>
      <name val="Calibri"/>
      <family val="2"/>
      <charset val="238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</font>
    <font>
      <sz val="11"/>
      <color theme="0" tint="-0.34998626667073579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34998626667073579"/>
      <name val="Calibri"/>
      <family val="2"/>
      <charset val="238"/>
    </font>
    <font>
      <sz val="11"/>
      <color theme="0" tint="-0.34998626667073579"/>
      <name val="Calibri"/>
      <family val="2"/>
      <charset val="238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10"/>
      <color theme="1" tint="0.34998626667073579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C0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0"/>
      <color theme="0" tint="-0.499984740745262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vertAlign val="superscript"/>
      <sz val="10"/>
      <name val="Calibri"/>
      <family val="2"/>
      <charset val="238"/>
      <scheme val="minor"/>
    </font>
    <font>
      <sz val="10"/>
      <color theme="0" tint="-0.249977111117893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b/>
      <sz val="10"/>
      <color theme="0" tint="-0.249977111117893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10"/>
      <color theme="0" tint="-0.499984740745262"/>
      <name val="Calibri"/>
      <family val="2"/>
      <charset val="238"/>
      <scheme val="minor"/>
    </font>
    <font>
      <b/>
      <i/>
      <sz val="10"/>
      <color theme="0" tint="-0.499984740745262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0"/>
      <color theme="0" tint="-0.249977111117893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theme="0" tint="-0.34998626667073579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vertAlign val="superscript"/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Calibri"/>
      <family val="2"/>
      <charset val="238"/>
    </font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Arial"/>
      <family val="2"/>
      <charset val="238"/>
    </font>
    <font>
      <b/>
      <sz val="10"/>
      <name val="Times New Roman CE"/>
      <charset val="238"/>
    </font>
    <font>
      <b/>
      <sz val="10"/>
      <name val="Arial"/>
      <family val="2"/>
      <charset val="238"/>
    </font>
    <font>
      <b/>
      <sz val="11"/>
      <color theme="0" tint="-0.249977111117893"/>
      <name val="Calibri"/>
      <family val="2"/>
    </font>
    <font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</font>
    <font>
      <b/>
      <sz val="11"/>
      <color theme="0" tint="-0.249977111117893"/>
      <name val="Calibri"/>
      <family val="2"/>
      <scheme val="minor"/>
    </font>
    <font>
      <sz val="11"/>
      <color rgb="FF7030A0"/>
      <name val="Calibri"/>
      <family val="2"/>
      <charset val="238"/>
    </font>
    <font>
      <b/>
      <sz val="11"/>
      <color rgb="FF7030A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9"/>
      <name val="Times New Roman CE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0904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theme="1" tint="0.499984740745262"/>
      </bottom>
      <diagonal/>
    </border>
    <border>
      <left/>
      <right/>
      <top style="dotted">
        <color theme="1" tint="0.499984740745262"/>
      </top>
      <bottom style="dotted">
        <color theme="1" tint="0.499984740745262"/>
      </bottom>
      <diagonal/>
    </border>
    <border>
      <left/>
      <right/>
      <top/>
      <bottom style="dotted">
        <color theme="0" tint="-0.499984740745262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4" fillId="0" borderId="0"/>
    <xf numFmtId="0" fontId="7" fillId="0" borderId="0"/>
    <xf numFmtId="0" fontId="10" fillId="0" borderId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0" fontId="1" fillId="0" borderId="0"/>
    <xf numFmtId="0" fontId="41" fillId="0" borderId="0"/>
    <xf numFmtId="9" fontId="1" fillId="0" borderId="0" applyFont="0" applyFill="0" applyBorder="0" applyAlignment="0" applyProtection="0"/>
    <xf numFmtId="0" fontId="73" fillId="0" borderId="0"/>
    <xf numFmtId="0" fontId="74" fillId="0" borderId="0" applyNumberFormat="0" applyFill="0" applyBorder="0" applyAlignment="0" applyProtection="0"/>
    <xf numFmtId="9" fontId="76" fillId="0" borderId="0" applyFont="0" applyFill="0" applyBorder="0" applyAlignment="0" applyProtection="0"/>
    <xf numFmtId="0" fontId="79" fillId="0" borderId="0"/>
    <xf numFmtId="0" fontId="79" fillId="0" borderId="0"/>
    <xf numFmtId="0" fontId="79" fillId="0" borderId="0"/>
  </cellStyleXfs>
  <cellXfs count="1743">
    <xf numFmtId="0" fontId="0" fillId="0" borderId="0" xfId="0"/>
    <xf numFmtId="0" fontId="5" fillId="0" borderId="6" xfId="1" applyFont="1" applyBorder="1" applyAlignment="1">
      <alignment horizontal="center" wrapText="1"/>
    </xf>
    <xf numFmtId="0" fontId="5" fillId="0" borderId="7" xfId="1" applyFont="1" applyBorder="1" applyAlignment="1">
      <alignment horizontal="center" wrapText="1"/>
    </xf>
    <xf numFmtId="0" fontId="5" fillId="0" borderId="8" xfId="1" applyFont="1" applyBorder="1" applyAlignment="1">
      <alignment horizontal="center" wrapText="1"/>
    </xf>
    <xf numFmtId="0" fontId="6" fillId="0" borderId="6" xfId="2" applyFont="1" applyBorder="1" applyAlignment="1">
      <alignment horizontal="center" wrapText="1"/>
    </xf>
    <xf numFmtId="0" fontId="6" fillId="0" borderId="7" xfId="2" applyFont="1" applyBorder="1" applyAlignment="1">
      <alignment horizontal="center" wrapText="1"/>
    </xf>
    <xf numFmtId="0" fontId="6" fillId="0" borderId="8" xfId="2" applyFont="1" applyBorder="1" applyAlignment="1">
      <alignment horizontal="center" wrapText="1"/>
    </xf>
    <xf numFmtId="0" fontId="6" fillId="0" borderId="6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2" xfId="0" applyBorder="1" applyAlignment="1">
      <alignment horizontal="center" vertical="center"/>
    </xf>
    <xf numFmtId="49" fontId="6" fillId="0" borderId="6" xfId="1" applyNumberFormat="1" applyFont="1" applyBorder="1" applyAlignment="1">
      <alignment horizontal="right"/>
    </xf>
    <xf numFmtId="49" fontId="5" fillId="0" borderId="15" xfId="1" applyNumberFormat="1" applyFont="1" applyBorder="1" applyAlignment="1">
      <alignment horizontal="left" vertical="center"/>
    </xf>
    <xf numFmtId="49" fontId="5" fillId="0" borderId="13" xfId="1" applyNumberFormat="1" applyFont="1" applyBorder="1" applyAlignment="1">
      <alignment horizontal="left" vertical="center"/>
    </xf>
    <xf numFmtId="49" fontId="5" fillId="0" borderId="14" xfId="1" applyNumberFormat="1" applyFont="1" applyBorder="1" applyAlignment="1">
      <alignment horizontal="left" vertical="center"/>
    </xf>
    <xf numFmtId="49" fontId="5" fillId="0" borderId="1" xfId="1" applyNumberFormat="1" applyFont="1" applyBorder="1" applyAlignment="1">
      <alignment horizontal="left" vertical="center"/>
    </xf>
    <xf numFmtId="49" fontId="5" fillId="0" borderId="4" xfId="1" applyNumberFormat="1" applyFont="1" applyBorder="1" applyAlignment="1">
      <alignment horizontal="left" vertical="center"/>
    </xf>
    <xf numFmtId="49" fontId="5" fillId="0" borderId="6" xfId="1" applyNumberFormat="1" applyFont="1" applyBorder="1" applyAlignment="1">
      <alignment horizontal="left" vertical="center"/>
    </xf>
    <xf numFmtId="0" fontId="11" fillId="0" borderId="15" xfId="3" applyFont="1" applyBorder="1" applyAlignment="1">
      <alignment horizontal="center"/>
    </xf>
    <xf numFmtId="49" fontId="6" fillId="0" borderId="6" xfId="1" applyNumberFormat="1" applyFont="1" applyBorder="1" applyAlignment="1">
      <alignment horizontal="left"/>
    </xf>
    <xf numFmtId="49" fontId="10" fillId="0" borderId="1" xfId="3" applyNumberFormat="1" applyBorder="1" applyAlignment="1">
      <alignment horizontal="right"/>
    </xf>
    <xf numFmtId="49" fontId="10" fillId="0" borderId="2" xfId="3" applyNumberFormat="1" applyBorder="1" applyAlignment="1">
      <alignment horizontal="right"/>
    </xf>
    <xf numFmtId="49" fontId="10" fillId="0" borderId="3" xfId="3" applyNumberFormat="1" applyBorder="1" applyAlignment="1">
      <alignment horizontal="right"/>
    </xf>
    <xf numFmtId="49" fontId="10" fillId="0" borderId="4" xfId="3" applyNumberFormat="1" applyBorder="1" applyAlignment="1">
      <alignment horizontal="right"/>
    </xf>
    <xf numFmtId="49" fontId="10" fillId="0" borderId="0" xfId="3" applyNumberFormat="1" applyBorder="1" applyAlignment="1">
      <alignment horizontal="right"/>
    </xf>
    <xf numFmtId="49" fontId="10" fillId="0" borderId="5" xfId="3" applyNumberFormat="1" applyBorder="1" applyAlignment="1">
      <alignment horizontal="right"/>
    </xf>
    <xf numFmtId="49" fontId="10" fillId="0" borderId="6" xfId="3" applyNumberFormat="1" applyBorder="1" applyAlignment="1">
      <alignment horizontal="right"/>
    </xf>
    <xf numFmtId="49" fontId="10" fillId="0" borderId="7" xfId="3" applyNumberFormat="1" applyBorder="1" applyAlignment="1">
      <alignment horizontal="right"/>
    </xf>
    <xf numFmtId="49" fontId="10" fillId="0" borderId="8" xfId="3" applyNumberFormat="1" applyBorder="1" applyAlignment="1">
      <alignment horizontal="right"/>
    </xf>
    <xf numFmtId="2" fontId="4" fillId="0" borderId="0" xfId="1" applyNumberFormat="1" applyBorder="1" applyAlignment="1">
      <alignment horizontal="right"/>
    </xf>
    <xf numFmtId="2" fontId="4" fillId="0" borderId="4" xfId="1" applyNumberFormat="1" applyBorder="1" applyAlignment="1">
      <alignment horizontal="right"/>
    </xf>
    <xf numFmtId="0" fontId="4" fillId="0" borderId="0" xfId="1" applyNumberFormat="1" applyBorder="1" applyAlignment="1">
      <alignment horizontal="right"/>
    </xf>
    <xf numFmtId="0" fontId="4" fillId="0" borderId="2" xfId="1" applyNumberFormat="1" applyBorder="1" applyAlignment="1">
      <alignment horizontal="right"/>
    </xf>
    <xf numFmtId="0" fontId="4" fillId="0" borderId="1" xfId="1" applyNumberFormat="1" applyBorder="1" applyAlignment="1">
      <alignment horizontal="right"/>
    </xf>
    <xf numFmtId="0" fontId="4" fillId="0" borderId="3" xfId="1" applyNumberFormat="1" applyBorder="1" applyAlignment="1">
      <alignment horizontal="right"/>
    </xf>
    <xf numFmtId="0" fontId="4" fillId="0" borderId="4" xfId="1" applyNumberFormat="1" applyBorder="1" applyAlignment="1">
      <alignment horizontal="right"/>
    </xf>
    <xf numFmtId="0" fontId="4" fillId="0" borderId="5" xfId="1" applyNumberFormat="1" applyBorder="1" applyAlignment="1">
      <alignment horizontal="right"/>
    </xf>
    <xf numFmtId="0" fontId="6" fillId="0" borderId="9" xfId="1" applyNumberFormat="1" applyFont="1" applyBorder="1" applyAlignment="1">
      <alignment horizontal="right"/>
    </xf>
    <xf numFmtId="0" fontId="6" fillId="0" borderId="10" xfId="1" applyNumberFormat="1" applyFont="1" applyBorder="1" applyAlignment="1">
      <alignment horizontal="right"/>
    </xf>
    <xf numFmtId="0" fontId="6" fillId="0" borderId="11" xfId="1" applyNumberFormat="1" applyFont="1" applyBorder="1" applyAlignment="1">
      <alignment horizontal="right"/>
    </xf>
    <xf numFmtId="0" fontId="7" fillId="0" borderId="1" xfId="2" applyNumberFormat="1" applyBorder="1" applyAlignment="1">
      <alignment horizontal="right"/>
    </xf>
    <xf numFmtId="0" fontId="7" fillId="0" borderId="4" xfId="2" applyNumberFormat="1" applyBorder="1" applyAlignment="1">
      <alignment horizontal="right"/>
    </xf>
    <xf numFmtId="0" fontId="6" fillId="0" borderId="9" xfId="2" applyNumberFormat="1" applyFont="1" applyBorder="1" applyAlignment="1">
      <alignment horizontal="right"/>
    </xf>
    <xf numFmtId="0" fontId="6" fillId="0" borderId="10" xfId="2" applyNumberFormat="1" applyFont="1" applyBorder="1" applyAlignment="1">
      <alignment horizontal="right"/>
    </xf>
    <xf numFmtId="0" fontId="6" fillId="0" borderId="11" xfId="2" applyNumberFormat="1" applyFont="1" applyBorder="1" applyAlignment="1">
      <alignment horizontal="right"/>
    </xf>
    <xf numFmtId="1" fontId="4" fillId="0" borderId="1" xfId="1" applyNumberFormat="1" applyBorder="1" applyAlignment="1">
      <alignment horizontal="right"/>
    </xf>
    <xf numFmtId="1" fontId="4" fillId="0" borderId="2" xfId="1" applyNumberFormat="1" applyBorder="1" applyAlignment="1">
      <alignment horizontal="right"/>
    </xf>
    <xf numFmtId="1" fontId="4" fillId="0" borderId="3" xfId="1" applyNumberFormat="1" applyBorder="1" applyAlignment="1">
      <alignment horizontal="right"/>
    </xf>
    <xf numFmtId="1" fontId="4" fillId="0" borderId="4" xfId="1" applyNumberFormat="1" applyBorder="1" applyAlignment="1">
      <alignment horizontal="right"/>
    </xf>
    <xf numFmtId="1" fontId="4" fillId="0" borderId="0" xfId="1" applyNumberFormat="1" applyBorder="1" applyAlignment="1">
      <alignment horizontal="right"/>
    </xf>
    <xf numFmtId="1" fontId="4" fillId="0" borderId="5" xfId="1" applyNumberFormat="1" applyBorder="1" applyAlignment="1">
      <alignment horizontal="right"/>
    </xf>
    <xf numFmtId="1" fontId="6" fillId="0" borderId="9" xfId="1" applyNumberFormat="1" applyFont="1" applyBorder="1" applyAlignment="1">
      <alignment horizontal="right"/>
    </xf>
    <xf numFmtId="1" fontId="6" fillId="0" borderId="10" xfId="1" applyNumberFormat="1" applyFont="1" applyBorder="1" applyAlignment="1">
      <alignment horizontal="right"/>
    </xf>
    <xf numFmtId="1" fontId="6" fillId="0" borderId="11" xfId="1" applyNumberFormat="1" applyFont="1" applyBorder="1" applyAlignment="1">
      <alignment horizontal="right"/>
    </xf>
    <xf numFmtId="0" fontId="5" fillId="0" borderId="4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5" fillId="0" borderId="0" xfId="1" applyFont="1" applyBorder="1" applyAlignment="1">
      <alignment horizontal="center" wrapText="1"/>
    </xf>
    <xf numFmtId="2" fontId="4" fillId="0" borderId="1" xfId="1" applyNumberFormat="1" applyBorder="1" applyAlignment="1">
      <alignment horizontal="right"/>
    </xf>
    <xf numFmtId="2" fontId="4" fillId="0" borderId="2" xfId="1" applyNumberFormat="1" applyBorder="1" applyAlignment="1">
      <alignment horizontal="right"/>
    </xf>
    <xf numFmtId="2" fontId="7" fillId="0" borderId="1" xfId="2" applyNumberFormat="1" applyBorder="1" applyAlignment="1">
      <alignment horizontal="right"/>
    </xf>
    <xf numFmtId="2" fontId="7" fillId="0" borderId="4" xfId="2" applyNumberFormat="1" applyBorder="1" applyAlignment="1">
      <alignment horizontal="right"/>
    </xf>
    <xf numFmtId="2" fontId="6" fillId="0" borderId="10" xfId="1" applyNumberFormat="1" applyFont="1" applyBorder="1" applyAlignment="1">
      <alignment horizontal="right"/>
    </xf>
    <xf numFmtId="2" fontId="6" fillId="0" borderId="9" xfId="1" applyNumberFormat="1" applyFont="1" applyBorder="1" applyAlignment="1">
      <alignment horizontal="right"/>
    </xf>
    <xf numFmtId="164" fontId="4" fillId="0" borderId="2" xfId="1" applyNumberFormat="1" applyBorder="1" applyAlignment="1">
      <alignment horizontal="right"/>
    </xf>
    <xf numFmtId="164" fontId="4" fillId="0" borderId="1" xfId="1" applyNumberFormat="1" applyBorder="1" applyAlignment="1">
      <alignment horizontal="right"/>
    </xf>
    <xf numFmtId="164" fontId="7" fillId="0" borderId="1" xfId="2" applyNumberFormat="1" applyBorder="1" applyAlignment="1">
      <alignment horizontal="right"/>
    </xf>
    <xf numFmtId="164" fontId="4" fillId="0" borderId="0" xfId="1" applyNumberFormat="1" applyBorder="1" applyAlignment="1">
      <alignment horizontal="right"/>
    </xf>
    <xf numFmtId="164" fontId="4" fillId="0" borderId="4" xfId="1" applyNumberFormat="1" applyBorder="1" applyAlignment="1">
      <alignment horizontal="right"/>
    </xf>
    <xf numFmtId="164" fontId="7" fillId="0" borderId="4" xfId="2" applyNumberFormat="1" applyBorder="1" applyAlignment="1">
      <alignment horizontal="right"/>
    </xf>
    <xf numFmtId="164" fontId="6" fillId="0" borderId="10" xfId="1" applyNumberFormat="1" applyFont="1" applyBorder="1" applyAlignment="1">
      <alignment horizontal="right"/>
    </xf>
    <xf numFmtId="164" fontId="6" fillId="0" borderId="9" xfId="1" applyNumberFormat="1" applyFont="1" applyBorder="1" applyAlignment="1">
      <alignment horizontal="right"/>
    </xf>
    <xf numFmtId="1" fontId="7" fillId="0" borderId="1" xfId="2" applyNumberFormat="1" applyBorder="1" applyAlignment="1">
      <alignment horizontal="right"/>
    </xf>
    <xf numFmtId="1" fontId="7" fillId="0" borderId="2" xfId="2" applyNumberFormat="1" applyBorder="1" applyAlignment="1">
      <alignment horizontal="right"/>
    </xf>
    <xf numFmtId="1" fontId="7" fillId="0" borderId="3" xfId="2" applyNumberFormat="1" applyBorder="1" applyAlignment="1">
      <alignment horizontal="right"/>
    </xf>
    <xf numFmtId="1" fontId="7" fillId="0" borderId="4" xfId="2" applyNumberFormat="1" applyBorder="1" applyAlignment="1">
      <alignment horizontal="right"/>
    </xf>
    <xf numFmtId="1" fontId="7" fillId="0" borderId="0" xfId="2" applyNumberFormat="1" applyBorder="1" applyAlignment="1">
      <alignment horizontal="right"/>
    </xf>
    <xf numFmtId="1" fontId="7" fillId="0" borderId="5" xfId="2" applyNumberFormat="1" applyBorder="1" applyAlignment="1">
      <alignment horizontal="right"/>
    </xf>
    <xf numFmtId="1" fontId="6" fillId="0" borderId="9" xfId="2" applyNumberFormat="1" applyFont="1" applyBorder="1" applyAlignment="1">
      <alignment horizontal="right"/>
    </xf>
    <xf numFmtId="1" fontId="6" fillId="0" borderId="10" xfId="2" applyNumberFormat="1" applyFont="1" applyBorder="1" applyAlignment="1">
      <alignment horizontal="right"/>
    </xf>
    <xf numFmtId="1" fontId="6" fillId="0" borderId="11" xfId="2" applyNumberFormat="1" applyFont="1" applyBorder="1" applyAlignment="1">
      <alignment horizontal="right"/>
    </xf>
    <xf numFmtId="165" fontId="4" fillId="0" borderId="2" xfId="1" applyNumberFormat="1" applyBorder="1" applyAlignment="1">
      <alignment horizontal="right"/>
    </xf>
    <xf numFmtId="165" fontId="4" fillId="0" borderId="0" xfId="1" applyNumberFormat="1" applyBorder="1" applyAlignment="1">
      <alignment horizontal="right"/>
    </xf>
    <xf numFmtId="0" fontId="5" fillId="0" borderId="4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165" fontId="7" fillId="0" borderId="1" xfId="2" applyNumberFormat="1" applyBorder="1" applyAlignment="1">
      <alignment horizontal="right"/>
    </xf>
    <xf numFmtId="165" fontId="7" fillId="0" borderId="4" xfId="2" applyNumberFormat="1" applyBorder="1" applyAlignment="1">
      <alignment horizontal="right"/>
    </xf>
    <xf numFmtId="166" fontId="7" fillId="0" borderId="4" xfId="2" applyNumberFormat="1" applyBorder="1" applyAlignment="1">
      <alignment horizontal="right"/>
    </xf>
    <xf numFmtId="1" fontId="0" fillId="0" borderId="0" xfId="0" applyNumberFormat="1"/>
    <xf numFmtId="1" fontId="10" fillId="0" borderId="1" xfId="3" applyNumberFormat="1" applyBorder="1" applyAlignment="1">
      <alignment horizontal="right"/>
    </xf>
    <xf numFmtId="1" fontId="10" fillId="0" borderId="2" xfId="3" applyNumberFormat="1" applyBorder="1" applyAlignment="1">
      <alignment horizontal="right"/>
    </xf>
    <xf numFmtId="1" fontId="10" fillId="0" borderId="4" xfId="3" applyNumberFormat="1" applyBorder="1" applyAlignment="1">
      <alignment horizontal="right"/>
    </xf>
    <xf numFmtId="1" fontId="10" fillId="0" borderId="0" xfId="3" applyNumberFormat="1" applyBorder="1" applyAlignment="1">
      <alignment horizontal="right"/>
    </xf>
    <xf numFmtId="1" fontId="10" fillId="0" borderId="6" xfId="3" applyNumberFormat="1" applyBorder="1" applyAlignment="1">
      <alignment horizontal="right"/>
    </xf>
    <xf numFmtId="1" fontId="10" fillId="0" borderId="7" xfId="3" applyNumberFormat="1" applyBorder="1" applyAlignment="1">
      <alignment horizontal="right"/>
    </xf>
    <xf numFmtId="1" fontId="5" fillId="0" borderId="6" xfId="3" applyNumberFormat="1" applyFont="1" applyBorder="1" applyAlignment="1">
      <alignment horizontal="right"/>
    </xf>
    <xf numFmtId="1" fontId="5" fillId="0" borderId="7" xfId="3" applyNumberFormat="1" applyFont="1" applyBorder="1" applyAlignment="1">
      <alignment horizontal="right"/>
    </xf>
    <xf numFmtId="1" fontId="5" fillId="0" borderId="9" xfId="3" applyNumberFormat="1" applyFont="1" applyBorder="1" applyAlignment="1">
      <alignment horizontal="right"/>
    </xf>
    <xf numFmtId="1" fontId="5" fillId="0" borderId="10" xfId="3" applyNumberFormat="1" applyFont="1" applyBorder="1" applyAlignment="1">
      <alignment horizontal="right"/>
    </xf>
    <xf numFmtId="1" fontId="5" fillId="0" borderId="11" xfId="3" applyNumberFormat="1" applyFont="1" applyBorder="1" applyAlignment="1">
      <alignment horizontal="right"/>
    </xf>
    <xf numFmtId="0" fontId="10" fillId="0" borderId="2" xfId="3" applyNumberFormat="1" applyBorder="1" applyAlignment="1">
      <alignment horizontal="right"/>
    </xf>
    <xf numFmtId="0" fontId="10" fillId="0" borderId="0" xfId="3" applyNumberFormat="1" applyBorder="1" applyAlignment="1">
      <alignment horizontal="right"/>
    </xf>
    <xf numFmtId="0" fontId="10" fillId="0" borderId="7" xfId="3" applyNumberFormat="1" applyBorder="1" applyAlignment="1">
      <alignment horizontal="right"/>
    </xf>
    <xf numFmtId="3" fontId="10" fillId="0" borderId="2" xfId="3" applyNumberFormat="1" applyBorder="1" applyAlignment="1">
      <alignment horizontal="right"/>
    </xf>
    <xf numFmtId="3" fontId="10" fillId="0" borderId="0" xfId="3" applyNumberFormat="1" applyBorder="1" applyAlignment="1">
      <alignment horizontal="right"/>
    </xf>
    <xf numFmtId="3" fontId="10" fillId="0" borderId="7" xfId="3" applyNumberFormat="1" applyBorder="1" applyAlignment="1">
      <alignment horizontal="right"/>
    </xf>
    <xf numFmtId="3" fontId="5" fillId="0" borderId="10" xfId="3" applyNumberFormat="1" applyFont="1" applyBorder="1" applyAlignment="1">
      <alignment horizontal="right"/>
    </xf>
    <xf numFmtId="165" fontId="10" fillId="0" borderId="2" xfId="3" applyNumberFormat="1" applyBorder="1" applyAlignment="1">
      <alignment horizontal="right"/>
    </xf>
    <xf numFmtId="165" fontId="10" fillId="0" borderId="0" xfId="3" applyNumberFormat="1" applyBorder="1" applyAlignment="1">
      <alignment horizontal="right"/>
    </xf>
    <xf numFmtId="165" fontId="10" fillId="0" borderId="7" xfId="3" applyNumberFormat="1" applyBorder="1" applyAlignment="1">
      <alignment horizontal="right"/>
    </xf>
    <xf numFmtId="165" fontId="5" fillId="0" borderId="10" xfId="3" applyNumberFormat="1" applyFont="1" applyBorder="1" applyAlignment="1">
      <alignment horizontal="right"/>
    </xf>
    <xf numFmtId="49" fontId="6" fillId="0" borderId="12" xfId="1" applyNumberFormat="1" applyFont="1" applyBorder="1" applyAlignment="1">
      <alignment horizontal="right"/>
    </xf>
    <xf numFmtId="4" fontId="4" fillId="0" borderId="1" xfId="1" applyNumberFormat="1" applyBorder="1" applyAlignment="1">
      <alignment horizontal="right"/>
    </xf>
    <xf numFmtId="4" fontId="4" fillId="0" borderId="2" xfId="1" applyNumberFormat="1" applyBorder="1" applyAlignment="1">
      <alignment horizontal="right"/>
    </xf>
    <xf numFmtId="4" fontId="4" fillId="0" borderId="3" xfId="1" applyNumberFormat="1" applyBorder="1" applyAlignment="1">
      <alignment horizontal="right"/>
    </xf>
    <xf numFmtId="4" fontId="7" fillId="0" borderId="1" xfId="2" applyNumberFormat="1" applyBorder="1" applyAlignment="1">
      <alignment horizontal="right"/>
    </xf>
    <xf numFmtId="4" fontId="7" fillId="0" borderId="2" xfId="2" applyNumberFormat="1" applyBorder="1" applyAlignment="1">
      <alignment horizontal="right"/>
    </xf>
    <xf numFmtId="4" fontId="4" fillId="0" borderId="4" xfId="1" applyNumberFormat="1" applyBorder="1" applyAlignment="1">
      <alignment horizontal="right"/>
    </xf>
    <xf numFmtId="4" fontId="4" fillId="0" borderId="0" xfId="1" applyNumberFormat="1" applyBorder="1" applyAlignment="1">
      <alignment horizontal="right"/>
    </xf>
    <xf numFmtId="4" fontId="4" fillId="0" borderId="5" xfId="1" applyNumberFormat="1" applyBorder="1" applyAlignment="1">
      <alignment horizontal="right"/>
    </xf>
    <xf numFmtId="4" fontId="7" fillId="0" borderId="4" xfId="2" applyNumberFormat="1" applyBorder="1" applyAlignment="1">
      <alignment horizontal="right"/>
    </xf>
    <xf numFmtId="4" fontId="7" fillId="0" borderId="0" xfId="2" applyNumberFormat="1" applyBorder="1" applyAlignment="1">
      <alignment horizontal="right"/>
    </xf>
    <xf numFmtId="4" fontId="5" fillId="0" borderId="9" xfId="1" applyNumberFormat="1" applyFont="1" applyBorder="1" applyAlignment="1">
      <alignment horizontal="right"/>
    </xf>
    <xf numFmtId="4" fontId="5" fillId="0" borderId="10" xfId="1" applyNumberFormat="1" applyFont="1" applyBorder="1" applyAlignment="1">
      <alignment horizontal="right"/>
    </xf>
    <xf numFmtId="4" fontId="5" fillId="0" borderId="11" xfId="1" applyNumberFormat="1" applyFont="1" applyBorder="1" applyAlignment="1">
      <alignment horizontal="right"/>
    </xf>
    <xf numFmtId="4" fontId="6" fillId="0" borderId="10" xfId="1" applyNumberFormat="1" applyFont="1" applyBorder="1" applyAlignment="1">
      <alignment horizontal="right"/>
    </xf>
    <xf numFmtId="4" fontId="6" fillId="0" borderId="9" xfId="1" applyNumberFormat="1" applyFont="1" applyBorder="1" applyAlignment="1">
      <alignment horizontal="right"/>
    </xf>
    <xf numFmtId="4" fontId="6" fillId="0" borderId="11" xfId="1" applyNumberFormat="1" applyFont="1" applyBorder="1" applyAlignment="1">
      <alignment horizontal="right"/>
    </xf>
    <xf numFmtId="4" fontId="6" fillId="0" borderId="9" xfId="2" applyNumberFormat="1" applyFont="1" applyBorder="1" applyAlignment="1">
      <alignment horizontal="right"/>
    </xf>
    <xf numFmtId="4" fontId="6" fillId="0" borderId="10" xfId="2" applyNumberFormat="1" applyFont="1" applyBorder="1" applyAlignment="1">
      <alignment horizontal="right"/>
    </xf>
    <xf numFmtId="4" fontId="6" fillId="0" borderId="11" xfId="2" applyNumberFormat="1" applyFont="1" applyBorder="1" applyAlignment="1">
      <alignment horizontal="right"/>
    </xf>
    <xf numFmtId="4" fontId="5" fillId="0" borderId="10" xfId="2" applyNumberFormat="1" applyFont="1" applyBorder="1" applyAlignment="1">
      <alignment horizontal="right"/>
    </xf>
    <xf numFmtId="4" fontId="5" fillId="0" borderId="11" xfId="2" applyNumberFormat="1" applyFont="1" applyBorder="1" applyAlignment="1">
      <alignment horizontal="right"/>
    </xf>
    <xf numFmtId="4" fontId="5" fillId="0" borderId="9" xfId="2" applyNumberFormat="1" applyFont="1" applyBorder="1" applyAlignment="1">
      <alignment horizontal="right"/>
    </xf>
    <xf numFmtId="2" fontId="5" fillId="0" borderId="6" xfId="1" applyNumberFormat="1" applyFont="1" applyBorder="1" applyAlignment="1">
      <alignment horizontal="center" wrapText="1"/>
    </xf>
    <xf numFmtId="2" fontId="5" fillId="0" borderId="7" xfId="1" applyNumberFormat="1" applyFont="1" applyBorder="1" applyAlignment="1">
      <alignment horizontal="center" wrapText="1"/>
    </xf>
    <xf numFmtId="2" fontId="5" fillId="0" borderId="8" xfId="1" applyNumberFormat="1" applyFont="1" applyBorder="1" applyAlignment="1">
      <alignment horizontal="center" wrapText="1"/>
    </xf>
    <xf numFmtId="4" fontId="7" fillId="0" borderId="1" xfId="2" applyNumberFormat="1" applyBorder="1" applyAlignment="1">
      <alignment horizontal="right" vertical="center"/>
    </xf>
    <xf numFmtId="4" fontId="7" fillId="0" borderId="4" xfId="2" applyNumberFormat="1" applyBorder="1" applyAlignment="1">
      <alignment horizontal="right" vertical="center"/>
    </xf>
    <xf numFmtId="4" fontId="12" fillId="0" borderId="1" xfId="2" applyNumberFormat="1" applyFont="1" applyBorder="1" applyAlignment="1">
      <alignment horizontal="right"/>
    </xf>
    <xf numFmtId="4" fontId="12" fillId="0" borderId="4" xfId="2" applyNumberFormat="1" applyFont="1" applyBorder="1" applyAlignment="1">
      <alignment horizontal="right"/>
    </xf>
    <xf numFmtId="0" fontId="4" fillId="4" borderId="0" xfId="1" applyNumberFormat="1" applyFill="1" applyBorder="1" applyAlignment="1">
      <alignment horizontal="right"/>
    </xf>
    <xf numFmtId="0" fontId="4" fillId="4" borderId="5" xfId="1" applyNumberFormat="1" applyFill="1" applyBorder="1" applyAlignment="1">
      <alignment horizontal="right"/>
    </xf>
    <xf numFmtId="2" fontId="6" fillId="0" borderId="6" xfId="2" applyNumberFormat="1" applyFont="1" applyBorder="1" applyAlignment="1">
      <alignment horizontal="center" wrapText="1"/>
    </xf>
    <xf numFmtId="2" fontId="6" fillId="0" borderId="7" xfId="2" applyNumberFormat="1" applyFont="1" applyBorder="1" applyAlignment="1">
      <alignment horizontal="center" wrapText="1"/>
    </xf>
    <xf numFmtId="2" fontId="6" fillId="0" borderId="8" xfId="2" applyNumberFormat="1" applyFont="1" applyBorder="1" applyAlignment="1">
      <alignment horizontal="center" wrapText="1"/>
    </xf>
    <xf numFmtId="1" fontId="4" fillId="4" borderId="1" xfId="1" applyNumberFormat="1" applyFill="1" applyBorder="1" applyAlignment="1">
      <alignment horizontal="right"/>
    </xf>
    <xf numFmtId="1" fontId="4" fillId="4" borderId="2" xfId="1" applyNumberFormat="1" applyFill="1" applyBorder="1" applyAlignment="1">
      <alignment horizontal="right"/>
    </xf>
    <xf numFmtId="1" fontId="4" fillId="4" borderId="4" xfId="1" applyNumberFormat="1" applyFill="1" applyBorder="1" applyAlignment="1">
      <alignment horizontal="right"/>
    </xf>
    <xf numFmtId="1" fontId="4" fillId="4" borderId="0" xfId="1" applyNumberFormat="1" applyFill="1" applyBorder="1" applyAlignment="1">
      <alignment horizontal="right"/>
    </xf>
    <xf numFmtId="164" fontId="6" fillId="0" borderId="11" xfId="1" applyNumberFormat="1" applyFont="1" applyBorder="1" applyAlignment="1">
      <alignment horizontal="right"/>
    </xf>
    <xf numFmtId="164" fontId="4" fillId="0" borderId="0" xfId="1" applyNumberFormat="1" applyBorder="1" applyAlignment="1">
      <alignment horizontal="center" vertical="center"/>
    </xf>
    <xf numFmtId="2" fontId="6" fillId="0" borderId="11" xfId="2" applyNumberFormat="1" applyFont="1" applyBorder="1" applyAlignment="1">
      <alignment horizontal="right"/>
    </xf>
    <xf numFmtId="0" fontId="13" fillId="0" borderId="0" xfId="0" applyFont="1"/>
    <xf numFmtId="0" fontId="4" fillId="0" borderId="0" xfId="1" applyNumberFormat="1" applyBorder="1" applyAlignment="1">
      <alignment horizontal="right" vertical="center"/>
    </xf>
    <xf numFmtId="0" fontId="4" fillId="0" borderId="2" xfId="1" applyNumberFormat="1" applyBorder="1" applyAlignment="1">
      <alignment horizontal="right" vertical="center"/>
    </xf>
    <xf numFmtId="1" fontId="13" fillId="0" borderId="0" xfId="0" applyNumberFormat="1" applyFont="1"/>
    <xf numFmtId="0" fontId="13" fillId="0" borderId="0" xfId="0" applyFont="1" applyAlignment="1">
      <alignment horizontal="right"/>
    </xf>
    <xf numFmtId="0" fontId="0" fillId="0" borderId="0" xfId="0" applyAlignment="1">
      <alignment horizontal="center" wrapText="1"/>
    </xf>
    <xf numFmtId="0" fontId="8" fillId="0" borderId="0" xfId="0" applyFont="1" applyAlignment="1">
      <alignment horizontal="center"/>
    </xf>
    <xf numFmtId="0" fontId="16" fillId="0" borderId="0" xfId="0" applyFont="1"/>
    <xf numFmtId="0" fontId="17" fillId="0" borderId="0" xfId="0" applyFont="1" applyAlignment="1">
      <alignment horizontal="right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0" fontId="20" fillId="0" borderId="0" xfId="0" applyFont="1"/>
    <xf numFmtId="49" fontId="5" fillId="0" borderId="4" xfId="1" applyNumberFormat="1" applyFont="1" applyFill="1" applyBorder="1" applyAlignment="1">
      <alignment horizontal="left" vertical="center"/>
    </xf>
    <xf numFmtId="0" fontId="4" fillId="0" borderId="4" xfId="1" applyNumberFormat="1" applyFill="1" applyBorder="1" applyAlignment="1">
      <alignment horizontal="right"/>
    </xf>
    <xf numFmtId="0" fontId="4" fillId="0" borderId="0" xfId="1" applyNumberFormat="1" applyFill="1" applyBorder="1" applyAlignment="1">
      <alignment horizontal="right"/>
    </xf>
    <xf numFmtId="1" fontId="4" fillId="0" borderId="0" xfId="1" applyNumberFormat="1" applyFill="1" applyBorder="1" applyAlignment="1">
      <alignment horizontal="right"/>
    </xf>
    <xf numFmtId="1" fontId="4" fillId="0" borderId="4" xfId="1" applyNumberFormat="1" applyFill="1" applyBorder="1" applyAlignment="1">
      <alignment horizontal="right"/>
    </xf>
    <xf numFmtId="164" fontId="4" fillId="0" borderId="4" xfId="1" applyNumberFormat="1" applyFill="1" applyBorder="1" applyAlignment="1">
      <alignment horizontal="right"/>
    </xf>
    <xf numFmtId="2" fontId="4" fillId="0" borderId="4" xfId="1" applyNumberFormat="1" applyFill="1" applyBorder="1" applyAlignment="1">
      <alignment horizontal="right"/>
    </xf>
    <xf numFmtId="2" fontId="4" fillId="0" borderId="0" xfId="1" applyNumberFormat="1" applyFill="1" applyBorder="1" applyAlignment="1">
      <alignment horizontal="right"/>
    </xf>
    <xf numFmtId="0" fontId="7" fillId="0" borderId="4" xfId="2" applyNumberFormat="1" applyFill="1" applyBorder="1" applyAlignment="1">
      <alignment horizontal="right"/>
    </xf>
    <xf numFmtId="0" fontId="0" fillId="0" borderId="0" xfId="0" applyFill="1"/>
    <xf numFmtId="0" fontId="0" fillId="0" borderId="16" xfId="0" applyBorder="1"/>
    <xf numFmtId="0" fontId="0" fillId="0" borderId="17" xfId="0" applyBorder="1"/>
    <xf numFmtId="1" fontId="7" fillId="4" borderId="5" xfId="2" applyNumberFormat="1" applyFill="1" applyBorder="1" applyAlignment="1">
      <alignment horizontal="right"/>
    </xf>
    <xf numFmtId="1" fontId="7" fillId="4" borderId="0" xfId="2" applyNumberFormat="1" applyFill="1" applyBorder="1" applyAlignment="1">
      <alignment horizontal="right"/>
    </xf>
    <xf numFmtId="2" fontId="0" fillId="0" borderId="0" xfId="0" applyNumberFormat="1"/>
    <xf numFmtId="1" fontId="6" fillId="0" borderId="7" xfId="1" applyNumberFormat="1" applyFont="1" applyBorder="1" applyAlignment="1">
      <alignment horizontal="right"/>
    </xf>
    <xf numFmtId="0" fontId="21" fillId="0" borderId="0" xfId="1" applyFont="1" applyBorder="1" applyAlignment="1">
      <alignment horizontal="center" wrapText="1"/>
    </xf>
    <xf numFmtId="164" fontId="12" fillId="0" borderId="2" xfId="1" applyNumberFormat="1" applyFont="1" applyBorder="1" applyAlignment="1">
      <alignment horizontal="right"/>
    </xf>
    <xf numFmtId="164" fontId="12" fillId="0" borderId="0" xfId="1" applyNumberFormat="1" applyFont="1" applyBorder="1" applyAlignment="1">
      <alignment horizontal="right"/>
    </xf>
    <xf numFmtId="1" fontId="6" fillId="0" borderId="6" xfId="1" applyNumberFormat="1" applyFont="1" applyBorder="1" applyAlignment="1">
      <alignment horizontal="right"/>
    </xf>
    <xf numFmtId="1" fontId="4" fillId="0" borderId="6" xfId="1" applyNumberFormat="1" applyBorder="1" applyAlignment="1">
      <alignment horizontal="right"/>
    </xf>
    <xf numFmtId="1" fontId="4" fillId="0" borderId="8" xfId="1" applyNumberFormat="1" applyBorder="1" applyAlignment="1">
      <alignment horizontal="right"/>
    </xf>
    <xf numFmtId="1" fontId="4" fillId="0" borderId="7" xfId="1" applyNumberFormat="1" applyBorder="1" applyAlignment="1">
      <alignment horizontal="right"/>
    </xf>
    <xf numFmtId="0" fontId="0" fillId="0" borderId="1" xfId="0" applyBorder="1"/>
    <xf numFmtId="0" fontId="0" fillId="0" borderId="4" xfId="0" applyBorder="1"/>
    <xf numFmtId="0" fontId="0" fillId="0" borderId="6" xfId="0" applyBorder="1"/>
    <xf numFmtId="1" fontId="12" fillId="0" borderId="3" xfId="1" applyNumberFormat="1" applyFont="1" applyBorder="1" applyAlignment="1">
      <alignment horizontal="right"/>
    </xf>
    <xf numFmtId="1" fontId="12" fillId="0" borderId="5" xfId="1" applyNumberFormat="1" applyFont="1" applyBorder="1" applyAlignment="1">
      <alignment horizontal="right"/>
    </xf>
    <xf numFmtId="164" fontId="22" fillId="0" borderId="0" xfId="0" applyNumberFormat="1" applyFont="1"/>
    <xf numFmtId="1" fontId="6" fillId="0" borderId="10" xfId="1" applyNumberFormat="1" applyFont="1" applyFill="1" applyBorder="1" applyAlignment="1">
      <alignment horizontal="right"/>
    </xf>
    <xf numFmtId="1" fontId="12" fillId="0" borderId="2" xfId="1" applyNumberFormat="1" applyFont="1" applyBorder="1" applyAlignment="1">
      <alignment horizontal="right"/>
    </xf>
    <xf numFmtId="1" fontId="12" fillId="0" borderId="0" xfId="1" applyNumberFormat="1" applyFont="1" applyBorder="1" applyAlignment="1">
      <alignment horizontal="right"/>
    </xf>
    <xf numFmtId="1" fontId="12" fillId="0" borderId="4" xfId="1" applyNumberFormat="1" applyFont="1" applyBorder="1" applyAlignment="1">
      <alignment horizontal="right"/>
    </xf>
    <xf numFmtId="1" fontId="12" fillId="0" borderId="6" xfId="1" applyNumberFormat="1" applyFont="1" applyBorder="1" applyAlignment="1">
      <alignment horizontal="right"/>
    </xf>
    <xf numFmtId="1" fontId="12" fillId="0" borderId="1" xfId="1" applyNumberFormat="1" applyFont="1" applyBorder="1" applyAlignment="1">
      <alignment horizontal="right"/>
    </xf>
    <xf numFmtId="0" fontId="0" fillId="6" borderId="0" xfId="0" applyFill="1"/>
    <xf numFmtId="0" fontId="0" fillId="4" borderId="0" xfId="0" applyFill="1"/>
    <xf numFmtId="0" fontId="13" fillId="0" borderId="0" xfId="0" applyFont="1" applyFill="1"/>
    <xf numFmtId="2" fontId="10" fillId="0" borderId="1" xfId="3" applyNumberFormat="1" applyBorder="1" applyAlignment="1">
      <alignment horizontal="right"/>
    </xf>
    <xf numFmtId="2" fontId="10" fillId="0" borderId="2" xfId="3" applyNumberFormat="1" applyBorder="1" applyAlignment="1">
      <alignment horizontal="right"/>
    </xf>
    <xf numFmtId="2" fontId="10" fillId="0" borderId="4" xfId="3" applyNumberFormat="1" applyBorder="1" applyAlignment="1">
      <alignment horizontal="right"/>
    </xf>
    <xf numFmtId="2" fontId="10" fillId="0" borderId="0" xfId="3" applyNumberFormat="1" applyBorder="1" applyAlignment="1">
      <alignment horizontal="right"/>
    </xf>
    <xf numFmtId="2" fontId="10" fillId="0" borderId="0" xfId="3" applyNumberFormat="1" applyBorder="1" applyAlignment="1">
      <alignment horizontal="right" vertical="center"/>
    </xf>
    <xf numFmtId="2" fontId="10" fillId="0" borderId="6" xfId="3" applyNumberFormat="1" applyBorder="1" applyAlignment="1">
      <alignment horizontal="right"/>
    </xf>
    <xf numFmtId="2" fontId="10" fillId="0" borderId="7" xfId="3" applyNumberFormat="1" applyBorder="1" applyAlignment="1">
      <alignment horizontal="right"/>
    </xf>
    <xf numFmtId="2" fontId="10" fillId="0" borderId="7" xfId="3" applyNumberFormat="1" applyBorder="1" applyAlignment="1">
      <alignment horizontal="right" vertical="center"/>
    </xf>
    <xf numFmtId="2" fontId="5" fillId="0" borderId="6" xfId="3" applyNumberFormat="1" applyFont="1" applyBorder="1" applyAlignment="1">
      <alignment horizontal="right"/>
    </xf>
    <xf numFmtId="1" fontId="7" fillId="4" borderId="2" xfId="2" applyNumberFormat="1" applyFill="1" applyBorder="1" applyAlignment="1">
      <alignment horizontal="right"/>
    </xf>
    <xf numFmtId="1" fontId="7" fillId="4" borderId="3" xfId="2" applyNumberFormat="1" applyFill="1" applyBorder="1" applyAlignment="1">
      <alignment horizontal="right"/>
    </xf>
    <xf numFmtId="4" fontId="0" fillId="0" borderId="0" xfId="0" applyNumberFormat="1"/>
    <xf numFmtId="0" fontId="11" fillId="0" borderId="12" xfId="3" applyFont="1" applyBorder="1" applyAlignment="1">
      <alignment horizontal="center"/>
    </xf>
    <xf numFmtId="0" fontId="10" fillId="0" borderId="0" xfId="3" applyNumberFormat="1" applyBorder="1" applyAlignment="1">
      <alignment horizontal="center" vertical="center"/>
    </xf>
    <xf numFmtId="1" fontId="10" fillId="0" borderId="5" xfId="3" applyNumberFormat="1" applyBorder="1" applyAlignment="1">
      <alignment horizontal="center" vertical="center"/>
    </xf>
    <xf numFmtId="165" fontId="0" fillId="0" borderId="12" xfId="0" applyNumberFormat="1" applyBorder="1"/>
    <xf numFmtId="2" fontId="10" fillId="0" borderId="2" xfId="3" applyNumberFormat="1" applyFill="1" applyBorder="1" applyAlignment="1">
      <alignment horizontal="right"/>
    </xf>
    <xf numFmtId="2" fontId="10" fillId="0" borderId="0" xfId="3" applyNumberFormat="1" applyFill="1" applyBorder="1" applyAlignment="1">
      <alignment horizontal="right"/>
    </xf>
    <xf numFmtId="0" fontId="10" fillId="0" borderId="0" xfId="3" applyNumberFormat="1" applyFill="1" applyBorder="1" applyAlignment="1">
      <alignment horizontal="center" vertical="center"/>
    </xf>
    <xf numFmtId="1" fontId="10" fillId="0" borderId="5" xfId="3" applyNumberFormat="1" applyFill="1" applyBorder="1" applyAlignment="1">
      <alignment horizontal="center" vertical="center"/>
    </xf>
    <xf numFmtId="2" fontId="10" fillId="0" borderId="0" xfId="3" applyNumberFormat="1" applyFill="1" applyBorder="1" applyAlignment="1">
      <alignment vertical="center"/>
    </xf>
    <xf numFmtId="2" fontId="10" fillId="0" borderId="5" xfId="3" applyNumberFormat="1" applyFill="1" applyBorder="1" applyAlignment="1">
      <alignment vertical="center"/>
    </xf>
    <xf numFmtId="2" fontId="24" fillId="0" borderId="0" xfId="3" applyNumberFormat="1" applyFont="1" applyFill="1" applyBorder="1" applyAlignment="1">
      <alignment horizontal="right"/>
    </xf>
    <xf numFmtId="2" fontId="24" fillId="0" borderId="5" xfId="3" applyNumberFormat="1" applyFont="1" applyFill="1" applyBorder="1" applyAlignment="1">
      <alignment horizontal="right"/>
    </xf>
    <xf numFmtId="2" fontId="10" fillId="0" borderId="7" xfId="3" applyNumberFormat="1" applyFill="1" applyBorder="1" applyAlignment="1">
      <alignment horizontal="right"/>
    </xf>
    <xf numFmtId="2" fontId="24" fillId="0" borderId="7" xfId="3" applyNumberFormat="1" applyFont="1" applyFill="1" applyBorder="1" applyAlignment="1">
      <alignment horizontal="right"/>
    </xf>
    <xf numFmtId="2" fontId="24" fillId="0" borderId="8" xfId="3" applyNumberFormat="1" applyFont="1" applyFill="1" applyBorder="1" applyAlignment="1">
      <alignment horizontal="right"/>
    </xf>
    <xf numFmtId="2" fontId="10" fillId="0" borderId="2" xfId="3" applyNumberFormat="1" applyFill="1" applyBorder="1" applyAlignment="1"/>
    <xf numFmtId="2" fontId="10" fillId="0" borderId="0" xfId="3" applyNumberFormat="1" applyFill="1" applyBorder="1" applyAlignment="1"/>
    <xf numFmtId="0" fontId="10" fillId="0" borderId="0" xfId="3" applyNumberFormat="1" applyFill="1" applyBorder="1" applyAlignment="1">
      <alignment vertical="center"/>
    </xf>
    <xf numFmtId="2" fontId="10" fillId="0" borderId="7" xfId="3" applyNumberFormat="1" applyFill="1" applyBorder="1" applyAlignment="1">
      <alignment vertical="center"/>
    </xf>
    <xf numFmtId="1" fontId="10" fillId="0" borderId="5" xfId="3" applyNumberFormat="1" applyFill="1" applyBorder="1" applyAlignment="1">
      <alignment vertical="center"/>
    </xf>
    <xf numFmtId="0" fontId="10" fillId="0" borderId="2" xfId="3" applyNumberFormat="1" applyFill="1" applyBorder="1" applyAlignment="1">
      <alignment vertical="center"/>
    </xf>
    <xf numFmtId="1" fontId="10" fillId="0" borderId="3" xfId="3" applyNumberFormat="1" applyFill="1" applyBorder="1" applyAlignment="1">
      <alignment vertical="center"/>
    </xf>
    <xf numFmtId="1" fontId="22" fillId="0" borderId="0" xfId="0" applyNumberFormat="1" applyFont="1" applyAlignment="1">
      <alignment horizontal="center" vertical="center"/>
    </xf>
    <xf numFmtId="1" fontId="22" fillId="0" borderId="2" xfId="0" applyNumberFormat="1" applyFont="1" applyBorder="1" applyAlignment="1">
      <alignment horizontal="center" vertical="center"/>
    </xf>
    <xf numFmtId="2" fontId="5" fillId="0" borderId="12" xfId="3" applyNumberFormat="1" applyFont="1" applyBorder="1" applyAlignment="1">
      <alignment horizontal="right"/>
    </xf>
    <xf numFmtId="1" fontId="22" fillId="0" borderId="7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right"/>
    </xf>
    <xf numFmtId="2" fontId="0" fillId="0" borderId="3" xfId="0" applyNumberFormat="1" applyBorder="1" applyAlignment="1">
      <alignment horizontal="right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" fontId="0" fillId="0" borderId="12" xfId="0" applyNumberFormat="1" applyBorder="1" applyAlignment="1">
      <alignment horizontal="center"/>
    </xf>
    <xf numFmtId="3" fontId="0" fillId="0" borderId="12" xfId="0" applyNumberFormat="1" applyBorder="1" applyAlignment="1">
      <alignment horizontal="right" indent="1"/>
    </xf>
    <xf numFmtId="3" fontId="0" fillId="0" borderId="12" xfId="0" applyNumberFormat="1" applyBorder="1" applyAlignment="1">
      <alignment horizontal="right" indent="3"/>
    </xf>
    <xf numFmtId="167" fontId="0" fillId="0" borderId="12" xfId="0" applyNumberFormat="1" applyBorder="1" applyAlignment="1">
      <alignment horizontal="right" indent="1"/>
    </xf>
    <xf numFmtId="3" fontId="26" fillId="0" borderId="12" xfId="0" applyNumberFormat="1" applyFont="1" applyBorder="1" applyAlignment="1">
      <alignment horizontal="right" indent="1"/>
    </xf>
    <xf numFmtId="167" fontId="0" fillId="0" borderId="14" xfId="0" applyNumberFormat="1" applyBorder="1" applyAlignment="1">
      <alignment horizontal="right" indent="1"/>
    </xf>
    <xf numFmtId="3" fontId="0" fillId="0" borderId="14" xfId="0" applyNumberFormat="1" applyBorder="1" applyAlignment="1">
      <alignment horizontal="center"/>
    </xf>
    <xf numFmtId="3" fontId="0" fillId="0" borderId="14" xfId="0" applyNumberFormat="1" applyBorder="1" applyAlignment="1">
      <alignment horizontal="right" indent="1"/>
    </xf>
    <xf numFmtId="3" fontId="0" fillId="0" borderId="14" xfId="0" applyNumberFormat="1" applyBorder="1" applyAlignment="1">
      <alignment horizontal="right" indent="3"/>
    </xf>
    <xf numFmtId="0" fontId="0" fillId="0" borderId="21" xfId="0" applyBorder="1" applyAlignment="1">
      <alignment horizontal="center" vertical="center"/>
    </xf>
    <xf numFmtId="167" fontId="0" fillId="0" borderId="21" xfId="0" applyNumberFormat="1" applyBorder="1" applyAlignment="1">
      <alignment horizontal="right" indent="1"/>
    </xf>
    <xf numFmtId="3" fontId="0" fillId="0" borderId="21" xfId="0" applyNumberFormat="1" applyBorder="1" applyAlignment="1">
      <alignment horizontal="center"/>
    </xf>
    <xf numFmtId="3" fontId="0" fillId="0" borderId="21" xfId="0" applyNumberFormat="1" applyBorder="1" applyAlignment="1">
      <alignment horizontal="right" indent="1"/>
    </xf>
    <xf numFmtId="2" fontId="25" fillId="0" borderId="22" xfId="0" applyNumberFormat="1" applyFont="1" applyBorder="1" applyAlignment="1">
      <alignment horizontal="right" indent="1"/>
    </xf>
    <xf numFmtId="2" fontId="25" fillId="0" borderId="24" xfId="0" applyNumberFormat="1" applyFont="1" applyBorder="1" applyAlignment="1">
      <alignment horizontal="right" indent="1"/>
    </xf>
    <xf numFmtId="3" fontId="0" fillId="0" borderId="27" xfId="0" applyNumberFormat="1" applyBorder="1" applyAlignment="1">
      <alignment horizontal="center"/>
    </xf>
    <xf numFmtId="167" fontId="0" fillId="0" borderId="15" xfId="0" applyNumberFormat="1" applyBorder="1" applyAlignment="1">
      <alignment horizontal="right" indent="1"/>
    </xf>
    <xf numFmtId="3" fontId="26" fillId="0" borderId="14" xfId="0" applyNumberFormat="1" applyFont="1" applyBorder="1" applyAlignment="1">
      <alignment horizontal="right" indent="1"/>
    </xf>
    <xf numFmtId="2" fontId="25" fillId="0" borderId="36" xfId="0" applyNumberFormat="1" applyFont="1" applyBorder="1" applyAlignment="1">
      <alignment horizontal="right" indent="1"/>
    </xf>
    <xf numFmtId="2" fontId="25" fillId="0" borderId="35" xfId="0" applyNumberFormat="1" applyFont="1" applyBorder="1" applyAlignment="1">
      <alignment horizontal="right" indent="1"/>
    </xf>
    <xf numFmtId="3" fontId="26" fillId="0" borderId="27" xfId="0" applyNumberFormat="1" applyFont="1" applyBorder="1" applyAlignment="1">
      <alignment horizontal="right" indent="1"/>
    </xf>
    <xf numFmtId="165" fontId="0" fillId="0" borderId="21" xfId="0" applyNumberFormat="1" applyBorder="1"/>
    <xf numFmtId="165" fontId="26" fillId="0" borderId="21" xfId="0" applyNumberFormat="1" applyFont="1" applyBorder="1"/>
    <xf numFmtId="165" fontId="26" fillId="0" borderId="12" xfId="0" applyNumberFormat="1" applyFont="1" applyBorder="1"/>
    <xf numFmtId="165" fontId="26" fillId="0" borderId="14" xfId="0" applyNumberFormat="1" applyFont="1" applyBorder="1"/>
    <xf numFmtId="165" fontId="26" fillId="0" borderId="15" xfId="0" applyNumberFormat="1" applyFont="1" applyBorder="1"/>
    <xf numFmtId="0" fontId="2" fillId="0" borderId="0" xfId="6"/>
    <xf numFmtId="0" fontId="8" fillId="7" borderId="18" xfId="6" applyFont="1" applyFill="1" applyBorder="1" applyAlignment="1">
      <alignment horizontal="center" vertical="center"/>
    </xf>
    <xf numFmtId="17" fontId="8" fillId="7" borderId="37" xfId="6" applyNumberFormat="1" applyFont="1" applyFill="1" applyBorder="1" applyAlignment="1">
      <alignment horizontal="center" vertical="center"/>
    </xf>
    <xf numFmtId="17" fontId="8" fillId="7" borderId="20" xfId="6" applyNumberFormat="1" applyFont="1" applyFill="1" applyBorder="1" applyAlignment="1">
      <alignment horizontal="center" vertical="center"/>
    </xf>
    <xf numFmtId="17" fontId="8" fillId="7" borderId="32" xfId="6" applyNumberFormat="1" applyFont="1" applyFill="1" applyBorder="1" applyAlignment="1">
      <alignment horizontal="center" vertical="center"/>
    </xf>
    <xf numFmtId="17" fontId="8" fillId="7" borderId="19" xfId="6" applyNumberFormat="1" applyFont="1" applyFill="1" applyBorder="1" applyAlignment="1">
      <alignment horizontal="center" vertical="center"/>
    </xf>
    <xf numFmtId="17" fontId="8" fillId="7" borderId="38" xfId="6" applyNumberFormat="1" applyFont="1" applyFill="1" applyBorder="1" applyAlignment="1">
      <alignment horizontal="center" vertical="center"/>
    </xf>
    <xf numFmtId="0" fontId="2" fillId="0" borderId="39" xfId="6" applyBorder="1"/>
    <xf numFmtId="4" fontId="2" fillId="0" borderId="40" xfId="6" applyNumberFormat="1" applyBorder="1"/>
    <xf numFmtId="4" fontId="2" fillId="0" borderId="21" xfId="6" applyNumberFormat="1" applyBorder="1"/>
    <xf numFmtId="4" fontId="2" fillId="0" borderId="41" xfId="6" applyNumberFormat="1" applyBorder="1"/>
    <xf numFmtId="4" fontId="2" fillId="0" borderId="22" xfId="6" applyNumberFormat="1" applyBorder="1"/>
    <xf numFmtId="0" fontId="2" fillId="0" borderId="42" xfId="6" applyBorder="1"/>
    <xf numFmtId="4" fontId="2" fillId="0" borderId="43" xfId="6" applyNumberFormat="1" applyBorder="1"/>
    <xf numFmtId="4" fontId="2" fillId="0" borderId="12" xfId="6" applyNumberFormat="1" applyBorder="1"/>
    <xf numFmtId="4" fontId="2" fillId="0" borderId="9" xfId="6" applyNumberFormat="1" applyBorder="1"/>
    <xf numFmtId="4" fontId="2" fillId="0" borderId="24" xfId="6" applyNumberFormat="1" applyBorder="1"/>
    <xf numFmtId="3" fontId="26" fillId="0" borderId="21" xfId="0" applyNumberFormat="1" applyFont="1" applyBorder="1" applyAlignment="1">
      <alignment horizontal="right" indent="1"/>
    </xf>
    <xf numFmtId="3" fontId="26" fillId="0" borderId="15" xfId="0" applyNumberFormat="1" applyFont="1" applyBorder="1" applyAlignment="1">
      <alignment horizontal="right" indent="1"/>
    </xf>
    <xf numFmtId="3" fontId="23" fillId="0" borderId="12" xfId="0" applyNumberFormat="1" applyFont="1" applyBorder="1" applyAlignment="1">
      <alignment horizontal="center"/>
    </xf>
    <xf numFmtId="0" fontId="0" fillId="0" borderId="26" xfId="0" applyBorder="1" applyAlignment="1">
      <alignment horizontal="center" vertical="center"/>
    </xf>
    <xf numFmtId="167" fontId="0" fillId="0" borderId="26" xfId="0" applyNumberFormat="1" applyBorder="1" applyAlignment="1">
      <alignment horizontal="right" indent="1"/>
    </xf>
    <xf numFmtId="3" fontId="22" fillId="0" borderId="12" xfId="0" applyNumberFormat="1" applyFont="1" applyBorder="1" applyAlignment="1">
      <alignment horizontal="right" indent="1"/>
    </xf>
    <xf numFmtId="1" fontId="4" fillId="0" borderId="0" xfId="1" applyNumberFormat="1" applyBorder="1" applyAlignment="1">
      <alignment vertical="center"/>
    </xf>
    <xf numFmtId="1" fontId="4" fillId="0" borderId="5" xfId="1" applyNumberFormat="1" applyBorder="1" applyAlignment="1">
      <alignment vertical="center"/>
    </xf>
    <xf numFmtId="165" fontId="23" fillId="0" borderId="12" xfId="0" applyNumberFormat="1" applyFont="1" applyFill="1" applyBorder="1"/>
    <xf numFmtId="3" fontId="23" fillId="0" borderId="12" xfId="0" applyNumberFormat="1" applyFont="1" applyFill="1" applyBorder="1" applyAlignment="1">
      <alignment horizontal="right" indent="1"/>
    </xf>
    <xf numFmtId="3" fontId="13" fillId="0" borderId="14" xfId="0" applyNumberFormat="1" applyFont="1" applyBorder="1" applyAlignment="1">
      <alignment horizontal="right" indent="1"/>
    </xf>
    <xf numFmtId="3" fontId="28" fillId="0" borderId="12" xfId="0" applyNumberFormat="1" applyFont="1" applyBorder="1" applyAlignment="1">
      <alignment horizontal="right" indent="1"/>
    </xf>
    <xf numFmtId="3" fontId="10" fillId="0" borderId="1" xfId="3" applyNumberFormat="1" applyBorder="1" applyAlignment="1">
      <alignment horizontal="right"/>
    </xf>
    <xf numFmtId="3" fontId="10" fillId="0" borderId="4" xfId="3" applyNumberFormat="1" applyBorder="1" applyAlignment="1">
      <alignment horizontal="right"/>
    </xf>
    <xf numFmtId="3" fontId="10" fillId="0" borderId="6" xfId="3" applyNumberFormat="1" applyBorder="1" applyAlignment="1">
      <alignment horizontal="right"/>
    </xf>
    <xf numFmtId="3" fontId="5" fillId="0" borderId="9" xfId="3" applyNumberFormat="1" applyFont="1" applyBorder="1" applyAlignment="1">
      <alignment horizontal="right"/>
    </xf>
    <xf numFmtId="3" fontId="5" fillId="0" borderId="11" xfId="3" applyNumberFormat="1" applyFont="1" applyBorder="1" applyAlignment="1">
      <alignment horizontal="right"/>
    </xf>
    <xf numFmtId="165" fontId="0" fillId="0" borderId="0" xfId="0" applyNumberFormat="1"/>
    <xf numFmtId="0" fontId="30" fillId="0" borderId="0" xfId="1" applyFont="1" applyBorder="1" applyAlignment="1">
      <alignment horizontal="center"/>
    </xf>
    <xf numFmtId="0" fontId="30" fillId="0" borderId="4" xfId="1" applyFont="1" applyBorder="1" applyAlignment="1">
      <alignment horizontal="center"/>
    </xf>
    <xf numFmtId="0" fontId="30" fillId="0" borderId="5" xfId="1" applyFont="1" applyBorder="1" applyAlignment="1">
      <alignment horizontal="center"/>
    </xf>
    <xf numFmtId="1" fontId="31" fillId="0" borderId="2" xfId="1" applyNumberFormat="1" applyFont="1" applyBorder="1" applyAlignment="1">
      <alignment horizontal="right"/>
    </xf>
    <xf numFmtId="1" fontId="31" fillId="4" borderId="2" xfId="1" applyNumberFormat="1" applyFont="1" applyFill="1" applyBorder="1" applyAlignment="1">
      <alignment horizontal="right"/>
    </xf>
    <xf numFmtId="1" fontId="31" fillId="0" borderId="1" xfId="1" applyNumberFormat="1" applyFont="1" applyBorder="1" applyAlignment="1">
      <alignment horizontal="right"/>
    </xf>
    <xf numFmtId="1" fontId="31" fillId="4" borderId="3" xfId="1" applyNumberFormat="1" applyFont="1" applyFill="1" applyBorder="1" applyAlignment="1">
      <alignment horizontal="right"/>
    </xf>
    <xf numFmtId="1" fontId="31" fillId="0" borderId="0" xfId="1" applyNumberFormat="1" applyFont="1" applyBorder="1" applyAlignment="1">
      <alignment horizontal="right"/>
    </xf>
    <xf numFmtId="1" fontId="31" fillId="4" borderId="0" xfId="1" applyNumberFormat="1" applyFont="1" applyFill="1" applyBorder="1" applyAlignment="1">
      <alignment horizontal="right"/>
    </xf>
    <xf numFmtId="1" fontId="31" fillId="0" borderId="4" xfId="1" applyNumberFormat="1" applyFont="1" applyBorder="1" applyAlignment="1">
      <alignment horizontal="right"/>
    </xf>
    <xf numFmtId="1" fontId="31" fillId="4" borderId="5" xfId="1" applyNumberFormat="1" applyFont="1" applyFill="1" applyBorder="1" applyAlignment="1">
      <alignment horizontal="right"/>
    </xf>
    <xf numFmtId="1" fontId="30" fillId="0" borderId="10" xfId="1" applyNumberFormat="1" applyFont="1" applyBorder="1" applyAlignment="1">
      <alignment horizontal="right"/>
    </xf>
    <xf numFmtId="1" fontId="30" fillId="4" borderId="10" xfId="1" applyNumberFormat="1" applyFont="1" applyFill="1" applyBorder="1" applyAlignment="1">
      <alignment horizontal="right"/>
    </xf>
    <xf numFmtId="1" fontId="30" fillId="0" borderId="9" xfId="1" applyNumberFormat="1" applyFont="1" applyBorder="1" applyAlignment="1">
      <alignment horizontal="right"/>
    </xf>
    <xf numFmtId="1" fontId="30" fillId="4" borderId="11" xfId="1" applyNumberFormat="1" applyFont="1" applyFill="1" applyBorder="1" applyAlignment="1">
      <alignment horizontal="right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4" fontId="7" fillId="0" borderId="0" xfId="2" applyNumberFormat="1" applyBorder="1" applyAlignment="1">
      <alignment horizontal="center" vertical="center"/>
    </xf>
    <xf numFmtId="4" fontId="7" fillId="0" borderId="2" xfId="2" applyNumberFormat="1" applyBorder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5" fillId="0" borderId="2" xfId="1" applyFont="1" applyBorder="1" applyAlignment="1">
      <alignment horizontal="center" wrapText="1"/>
    </xf>
    <xf numFmtId="167" fontId="0" fillId="0" borderId="13" xfId="0" applyNumberFormat="1" applyBorder="1" applyAlignment="1">
      <alignment horizontal="right" indent="1"/>
    </xf>
    <xf numFmtId="165" fontId="0" fillId="0" borderId="13" xfId="0" applyNumberFormat="1" applyBorder="1"/>
    <xf numFmtId="3" fontId="0" fillId="0" borderId="13" xfId="0" applyNumberFormat="1" applyBorder="1" applyAlignment="1">
      <alignment horizontal="right" indent="1"/>
    </xf>
    <xf numFmtId="2" fontId="25" fillId="0" borderId="47" xfId="0" applyNumberFormat="1" applyFont="1" applyBorder="1" applyAlignment="1">
      <alignment horizontal="right" indent="1"/>
    </xf>
    <xf numFmtId="165" fontId="26" fillId="0" borderId="13" xfId="0" applyNumberFormat="1" applyFont="1" applyBorder="1"/>
    <xf numFmtId="3" fontId="26" fillId="0" borderId="13" xfId="0" applyNumberFormat="1" applyFont="1" applyBorder="1" applyAlignment="1">
      <alignment horizontal="right" indent="1"/>
    </xf>
    <xf numFmtId="165" fontId="26" fillId="0" borderId="26" xfId="0" applyNumberFormat="1" applyFont="1" applyBorder="1"/>
    <xf numFmtId="3" fontId="26" fillId="0" borderId="26" xfId="0" applyNumberFormat="1" applyFont="1" applyBorder="1" applyAlignment="1">
      <alignment horizontal="right" indent="1"/>
    </xf>
    <xf numFmtId="3" fontId="0" fillId="0" borderId="26" xfId="0" applyNumberFormat="1" applyBorder="1" applyAlignment="1">
      <alignment horizontal="right" indent="1"/>
    </xf>
    <xf numFmtId="165" fontId="0" fillId="0" borderId="26" xfId="0" applyNumberFormat="1" applyBorder="1"/>
    <xf numFmtId="3" fontId="0" fillId="6" borderId="26" xfId="0" applyNumberFormat="1" applyFill="1" applyBorder="1" applyAlignment="1">
      <alignment horizontal="right" indent="1"/>
    </xf>
    <xf numFmtId="2" fontId="25" fillId="0" borderId="48" xfId="0" applyNumberFormat="1" applyFont="1" applyBorder="1" applyAlignment="1">
      <alignment horizontal="right" indent="1"/>
    </xf>
    <xf numFmtId="0" fontId="0" fillId="0" borderId="21" xfId="0" applyFont="1" applyBorder="1" applyAlignment="1">
      <alignment horizontal="center" vertical="center"/>
    </xf>
    <xf numFmtId="167" fontId="0" fillId="0" borderId="21" xfId="0" applyNumberFormat="1" applyFont="1" applyBorder="1" applyAlignment="1">
      <alignment horizontal="right" indent="1"/>
    </xf>
    <xf numFmtId="3" fontId="0" fillId="0" borderId="21" xfId="0" applyNumberFormat="1" applyFont="1" applyBorder="1" applyAlignment="1">
      <alignment horizontal="center"/>
    </xf>
    <xf numFmtId="3" fontId="0" fillId="0" borderId="21" xfId="0" applyNumberFormat="1" applyFont="1" applyBorder="1" applyAlignment="1">
      <alignment horizontal="right" indent="1"/>
    </xf>
    <xf numFmtId="0" fontId="0" fillId="0" borderId="12" xfId="0" applyFont="1" applyBorder="1" applyAlignment="1">
      <alignment horizontal="center" vertical="center"/>
    </xf>
    <xf numFmtId="167" fontId="0" fillId="0" borderId="12" xfId="0" applyNumberFormat="1" applyFont="1" applyBorder="1" applyAlignment="1">
      <alignment horizontal="right" indent="1"/>
    </xf>
    <xf numFmtId="3" fontId="0" fillId="0" borderId="12" xfId="0" applyNumberFormat="1" applyFont="1" applyBorder="1" applyAlignment="1">
      <alignment horizontal="center"/>
    </xf>
    <xf numFmtId="3" fontId="0" fillId="0" borderId="12" xfId="0" applyNumberFormat="1" applyFont="1" applyBorder="1" applyAlignment="1">
      <alignment horizontal="right" indent="1"/>
    </xf>
    <xf numFmtId="0" fontId="0" fillId="0" borderId="13" xfId="0" applyFont="1" applyBorder="1" applyAlignment="1">
      <alignment horizontal="center" vertical="center"/>
    </xf>
    <xf numFmtId="167" fontId="0" fillId="0" borderId="13" xfId="0" applyNumberFormat="1" applyFont="1" applyBorder="1" applyAlignment="1">
      <alignment horizontal="right" indent="1"/>
    </xf>
    <xf numFmtId="3" fontId="0" fillId="0" borderId="13" xfId="0" applyNumberFormat="1" applyFont="1" applyBorder="1" applyAlignment="1">
      <alignment horizontal="right" indent="1"/>
    </xf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8" fillId="0" borderId="9" xfId="0" applyFont="1" applyBorder="1"/>
    <xf numFmtId="0" fontId="8" fillId="0" borderId="11" xfId="0" applyFont="1" applyBorder="1"/>
    <xf numFmtId="0" fontId="6" fillId="0" borderId="7" xfId="2" applyFont="1" applyBorder="1" applyAlignment="1">
      <alignment horizontal="center"/>
    </xf>
    <xf numFmtId="0" fontId="0" fillId="0" borderId="3" xfId="0" applyBorder="1"/>
    <xf numFmtId="2" fontId="8" fillId="0" borderId="9" xfId="0" applyNumberFormat="1" applyFont="1" applyBorder="1"/>
    <xf numFmtId="2" fontId="8" fillId="0" borderId="11" xfId="0" applyNumberFormat="1" applyFont="1" applyBorder="1"/>
    <xf numFmtId="0" fontId="5" fillId="0" borderId="6" xfId="2" applyFont="1" applyFill="1" applyBorder="1" applyAlignment="1">
      <alignment horizontal="center"/>
    </xf>
    <xf numFmtId="0" fontId="5" fillId="0" borderId="8" xfId="2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0" borderId="2" xfId="0" applyBorder="1" applyAlignment="1">
      <alignment horizontal="center"/>
    </xf>
    <xf numFmtId="2" fontId="7" fillId="0" borderId="2" xfId="2" applyNumberFormat="1" applyBorder="1" applyAlignment="1">
      <alignment horizontal="right"/>
    </xf>
    <xf numFmtId="2" fontId="7" fillId="0" borderId="0" xfId="2" applyNumberFormat="1" applyBorder="1" applyAlignment="1">
      <alignment horizontal="right"/>
    </xf>
    <xf numFmtId="0" fontId="5" fillId="0" borderId="7" xfId="2" applyFont="1" applyBorder="1" applyAlignment="1">
      <alignment horizontal="center"/>
    </xf>
    <xf numFmtId="0" fontId="8" fillId="0" borderId="6" xfId="0" applyFont="1" applyBorder="1"/>
    <xf numFmtId="0" fontId="8" fillId="0" borderId="8" xfId="0" applyFont="1" applyBorder="1"/>
    <xf numFmtId="2" fontId="0" fillId="0" borderId="2" xfId="0" applyNumberFormat="1" applyBorder="1"/>
    <xf numFmtId="0" fontId="11" fillId="0" borderId="1" xfId="3" applyFont="1" applyBorder="1" applyAlignment="1">
      <alignment horizontal="center"/>
    </xf>
    <xf numFmtId="2" fontId="10" fillId="0" borderId="3" xfId="3" applyNumberFormat="1" applyBorder="1" applyAlignment="1">
      <alignment horizontal="right"/>
    </xf>
    <xf numFmtId="2" fontId="10" fillId="0" borderId="5" xfId="3" applyNumberFormat="1" applyBorder="1" applyAlignment="1">
      <alignment horizontal="right"/>
    </xf>
    <xf numFmtId="2" fontId="10" fillId="0" borderId="4" xfId="3" applyNumberFormat="1" applyBorder="1" applyAlignment="1">
      <alignment horizontal="right" vertical="center"/>
    </xf>
    <xf numFmtId="2" fontId="10" fillId="0" borderId="5" xfId="3" applyNumberFormat="1" applyBorder="1" applyAlignment="1">
      <alignment horizontal="right" vertical="center"/>
    </xf>
    <xf numFmtId="2" fontId="10" fillId="0" borderId="6" xfId="3" applyNumberFormat="1" applyBorder="1" applyAlignment="1">
      <alignment horizontal="right" vertical="center"/>
    </xf>
    <xf numFmtId="2" fontId="10" fillId="0" borderId="8" xfId="3" applyNumberFormat="1" applyBorder="1" applyAlignment="1">
      <alignment horizontal="right" vertical="center"/>
    </xf>
    <xf numFmtId="2" fontId="0" fillId="0" borderId="1" xfId="0" applyNumberFormat="1" applyBorder="1"/>
    <xf numFmtId="2" fontId="0" fillId="0" borderId="4" xfId="0" applyNumberFormat="1" applyBorder="1"/>
    <xf numFmtId="2" fontId="0" fillId="0" borderId="5" xfId="0" applyNumberFormat="1" applyBorder="1"/>
    <xf numFmtId="2" fontId="0" fillId="0" borderId="6" xfId="0" applyNumberFormat="1" applyBorder="1"/>
    <xf numFmtId="1" fontId="10" fillId="0" borderId="0" xfId="3" applyNumberFormat="1" applyFill="1" applyBorder="1" applyAlignment="1">
      <alignment vertical="center"/>
    </xf>
    <xf numFmtId="1" fontId="10" fillId="0" borderId="7" xfId="3" applyNumberFormat="1" applyFill="1" applyBorder="1" applyAlignment="1">
      <alignment vertical="center"/>
    </xf>
    <xf numFmtId="0" fontId="8" fillId="0" borderId="11" xfId="0" applyFont="1" applyBorder="1" applyAlignment="1">
      <alignment horizontal="center"/>
    </xf>
    <xf numFmtId="4" fontId="4" fillId="0" borderId="4" xfId="1" applyNumberFormat="1" applyFill="1" applyBorder="1" applyAlignment="1">
      <alignment horizontal="right"/>
    </xf>
    <xf numFmtId="4" fontId="4" fillId="0" borderId="5" xfId="1" applyNumberFormat="1" applyFill="1" applyBorder="1" applyAlignment="1">
      <alignment horizontal="right"/>
    </xf>
    <xf numFmtId="4" fontId="4" fillId="0" borderId="5" xfId="1" applyNumberFormat="1" applyBorder="1" applyAlignment="1">
      <alignment horizontal="right"/>
    </xf>
    <xf numFmtId="4" fontId="4" fillId="0" borderId="0" xfId="1" applyNumberFormat="1" applyFill="1" applyBorder="1" applyAlignment="1">
      <alignment horizontal="right"/>
    </xf>
    <xf numFmtId="49" fontId="0" fillId="0" borderId="0" xfId="0" applyNumberFormat="1"/>
    <xf numFmtId="4" fontId="5" fillId="0" borderId="10" xfId="2" applyNumberFormat="1" applyFont="1" applyBorder="1" applyAlignment="1">
      <alignment horizontal="center"/>
    </xf>
    <xf numFmtId="4" fontId="4" fillId="0" borderId="2" xfId="1" applyNumberFormat="1" applyFill="1" applyBorder="1" applyAlignment="1">
      <alignment horizontal="right"/>
    </xf>
    <xf numFmtId="4" fontId="4" fillId="0" borderId="3" xfId="1" applyNumberFormat="1" applyFill="1" applyBorder="1" applyAlignment="1">
      <alignment horizontal="right"/>
    </xf>
    <xf numFmtId="2" fontId="8" fillId="0" borderId="9" xfId="0" applyNumberFormat="1" applyFont="1" applyBorder="1" applyAlignment="1"/>
    <xf numFmtId="2" fontId="8" fillId="0" borderId="11" xfId="0" applyNumberFormat="1" applyFont="1" applyBorder="1" applyAlignment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8" xfId="0" applyFill="1" applyBorder="1"/>
    <xf numFmtId="0" fontId="4" fillId="0" borderId="2" xfId="1" applyNumberFormat="1" applyFill="1" applyBorder="1" applyAlignment="1">
      <alignment horizontal="right"/>
    </xf>
    <xf numFmtId="0" fontId="4" fillId="0" borderId="3" xfId="1" applyNumberFormat="1" applyFill="1" applyBorder="1" applyAlignment="1">
      <alignment horizontal="right"/>
    </xf>
    <xf numFmtId="0" fontId="4" fillId="0" borderId="5" xfId="1" applyNumberFormat="1" applyFill="1" applyBorder="1" applyAlignment="1">
      <alignment horizontal="right"/>
    </xf>
    <xf numFmtId="2" fontId="4" fillId="0" borderId="5" xfId="1" applyNumberFormat="1" applyFill="1" applyBorder="1" applyAlignment="1">
      <alignment horizontal="right"/>
    </xf>
    <xf numFmtId="2" fontId="4" fillId="0" borderId="3" xfId="1" applyNumberFormat="1" applyFill="1" applyBorder="1" applyAlignment="1">
      <alignment horizontal="right"/>
    </xf>
    <xf numFmtId="0" fontId="6" fillId="0" borderId="10" xfId="2" applyNumberFormat="1" applyFont="1" applyFill="1" applyBorder="1" applyAlignment="1">
      <alignment horizontal="right"/>
    </xf>
    <xf numFmtId="1" fontId="4" fillId="0" borderId="5" xfId="1" applyNumberFormat="1" applyFill="1" applyBorder="1" applyAlignment="1">
      <alignment horizontal="right"/>
    </xf>
    <xf numFmtId="2" fontId="5" fillId="0" borderId="9" xfId="1" applyNumberFormat="1" applyFont="1" applyBorder="1" applyAlignment="1">
      <alignment horizontal="right"/>
    </xf>
    <xf numFmtId="2" fontId="5" fillId="0" borderId="10" xfId="1" applyNumberFormat="1" applyFont="1" applyBorder="1" applyAlignment="1">
      <alignment horizontal="right"/>
    </xf>
    <xf numFmtId="2" fontId="5" fillId="0" borderId="11" xfId="1" applyNumberFormat="1" applyFont="1" applyBorder="1" applyAlignment="1">
      <alignment horizontal="right"/>
    </xf>
    <xf numFmtId="2" fontId="6" fillId="0" borderId="9" xfId="1" applyNumberFormat="1" applyFont="1" applyFill="1" applyBorder="1" applyAlignment="1">
      <alignment horizontal="right"/>
    </xf>
    <xf numFmtId="2" fontId="6" fillId="0" borderId="11" xfId="1" applyNumberFormat="1" applyFont="1" applyFill="1" applyBorder="1" applyAlignment="1">
      <alignment horizontal="right"/>
    </xf>
    <xf numFmtId="2" fontId="6" fillId="0" borderId="12" xfId="1" applyNumberFormat="1" applyFont="1" applyBorder="1" applyAlignment="1">
      <alignment horizontal="right"/>
    </xf>
    <xf numFmtId="0" fontId="4" fillId="0" borderId="1" xfId="1" applyNumberFormat="1" applyFill="1" applyBorder="1" applyAlignment="1">
      <alignment horizontal="right"/>
    </xf>
    <xf numFmtId="0" fontId="7" fillId="0" borderId="1" xfId="2" applyNumberFormat="1" applyFill="1" applyBorder="1" applyAlignment="1">
      <alignment horizontal="center" vertical="center"/>
    </xf>
    <xf numFmtId="0" fontId="7" fillId="0" borderId="4" xfId="2" applyNumberFormat="1" applyFill="1" applyBorder="1" applyAlignment="1">
      <alignment horizontal="center" vertical="center"/>
    </xf>
    <xf numFmtId="4" fontId="8" fillId="0" borderId="9" xfId="0" applyNumberFormat="1" applyFont="1" applyBorder="1"/>
    <xf numFmtId="4" fontId="8" fillId="0" borderId="11" xfId="0" applyNumberFormat="1" applyFont="1" applyBorder="1"/>
    <xf numFmtId="4" fontId="5" fillId="0" borderId="10" xfId="3" applyNumberFormat="1" applyFont="1" applyBorder="1" applyAlignment="1">
      <alignment horizontal="right"/>
    </xf>
    <xf numFmtId="4" fontId="0" fillId="0" borderId="11" xfId="0" applyNumberFormat="1" applyBorder="1"/>
    <xf numFmtId="3" fontId="8" fillId="0" borderId="9" xfId="0" applyNumberFormat="1" applyFont="1" applyBorder="1"/>
    <xf numFmtId="4" fontId="10" fillId="0" borderId="3" xfId="3" applyNumberFormat="1" applyBorder="1" applyAlignment="1">
      <alignment horizontal="right"/>
    </xf>
    <xf numFmtId="4" fontId="10" fillId="0" borderId="5" xfId="3" applyNumberFormat="1" applyBorder="1" applyAlignment="1">
      <alignment horizontal="right"/>
    </xf>
    <xf numFmtId="4" fontId="10" fillId="0" borderId="8" xfId="3" applyNumberFormat="1" applyBorder="1" applyAlignment="1">
      <alignment horizontal="right"/>
    </xf>
    <xf numFmtId="4" fontId="5" fillId="0" borderId="11" xfId="3" applyNumberFormat="1" applyFont="1" applyBorder="1" applyAlignment="1">
      <alignment horizontal="right"/>
    </xf>
    <xf numFmtId="49" fontId="10" fillId="4" borderId="3" xfId="3" applyNumberFormat="1" applyFill="1" applyBorder="1" applyAlignment="1">
      <alignment horizontal="right"/>
    </xf>
    <xf numFmtId="49" fontId="10" fillId="4" borderId="5" xfId="3" applyNumberFormat="1" applyFill="1" applyBorder="1" applyAlignment="1">
      <alignment horizontal="right"/>
    </xf>
    <xf numFmtId="49" fontId="10" fillId="4" borderId="8" xfId="3" applyNumberFormat="1" applyFill="1" applyBorder="1" applyAlignment="1">
      <alignment horizontal="right"/>
    </xf>
    <xf numFmtId="1" fontId="5" fillId="4" borderId="10" xfId="3" applyNumberFormat="1" applyFont="1" applyFill="1" applyBorder="1" applyAlignment="1">
      <alignment horizontal="right"/>
    </xf>
    <xf numFmtId="1" fontId="5" fillId="4" borderId="11" xfId="3" applyNumberFormat="1" applyFont="1" applyFill="1" applyBorder="1" applyAlignment="1">
      <alignment horizontal="right"/>
    </xf>
    <xf numFmtId="49" fontId="10" fillId="4" borderId="2" xfId="3" applyNumberFormat="1" applyFill="1" applyBorder="1" applyAlignment="1">
      <alignment horizontal="right"/>
    </xf>
    <xf numFmtId="49" fontId="10" fillId="4" borderId="0" xfId="3" applyNumberFormat="1" applyFill="1" applyBorder="1" applyAlignment="1">
      <alignment horizontal="right"/>
    </xf>
    <xf numFmtId="49" fontId="10" fillId="4" borderId="7" xfId="3" applyNumberFormat="1" applyFill="1" applyBorder="1" applyAlignment="1">
      <alignment horizontal="right"/>
    </xf>
    <xf numFmtId="0" fontId="8" fillId="0" borderId="11" xfId="0" applyFont="1" applyBorder="1" applyAlignment="1">
      <alignment horizontal="center"/>
    </xf>
    <xf numFmtId="3" fontId="4" fillId="0" borderId="1" xfId="1" applyNumberFormat="1" applyBorder="1" applyAlignment="1">
      <alignment horizontal="right"/>
    </xf>
    <xf numFmtId="3" fontId="6" fillId="0" borderId="9" xfId="1" applyNumberFormat="1" applyFont="1" applyBorder="1" applyAlignment="1">
      <alignment horizontal="right"/>
    </xf>
    <xf numFmtId="3" fontId="0" fillId="4" borderId="4" xfId="0" applyNumberFormat="1" applyFill="1" applyBorder="1" applyAlignment="1"/>
    <xf numFmtId="4" fontId="0" fillId="4" borderId="5" xfId="0" applyNumberFormat="1" applyFill="1" applyBorder="1" applyAlignment="1"/>
    <xf numFmtId="4" fontId="6" fillId="0" borderId="7" xfId="2" applyNumberFormat="1" applyFont="1" applyBorder="1" applyAlignment="1">
      <alignment horizontal="right"/>
    </xf>
    <xf numFmtId="3" fontId="4" fillId="0" borderId="4" xfId="1" applyNumberFormat="1" applyFill="1" applyBorder="1" applyAlignment="1">
      <alignment horizontal="right"/>
    </xf>
    <xf numFmtId="3" fontId="6" fillId="0" borderId="7" xfId="2" applyNumberFormat="1" applyFont="1" applyBorder="1" applyAlignment="1">
      <alignment horizontal="right"/>
    </xf>
    <xf numFmtId="3" fontId="4" fillId="0" borderId="4" xfId="1" applyNumberFormat="1" applyBorder="1" applyAlignment="1">
      <alignment horizontal="right"/>
    </xf>
    <xf numFmtId="3" fontId="6" fillId="0" borderId="9" xfId="2" applyNumberFormat="1" applyFont="1" applyBorder="1" applyAlignment="1">
      <alignment horizontal="right"/>
    </xf>
    <xf numFmtId="3" fontId="4" fillId="0" borderId="6" xfId="1" applyNumberFormat="1" applyBorder="1" applyAlignment="1">
      <alignment horizontal="right"/>
    </xf>
    <xf numFmtId="4" fontId="4" fillId="0" borderId="8" xfId="1" applyNumberFormat="1" applyBorder="1" applyAlignment="1">
      <alignment horizontal="right"/>
    </xf>
    <xf numFmtId="3" fontId="6" fillId="0" borderId="10" xfId="2" applyNumberFormat="1" applyFont="1" applyBorder="1" applyAlignment="1">
      <alignment horizontal="right"/>
    </xf>
    <xf numFmtId="4" fontId="11" fillId="0" borderId="15" xfId="3" applyNumberFormat="1" applyFont="1" applyBorder="1" applyAlignment="1">
      <alignment horizontal="center"/>
    </xf>
    <xf numFmtId="4" fontId="5" fillId="0" borderId="6" xfId="3" applyNumberFormat="1" applyFont="1" applyBorder="1" applyAlignment="1">
      <alignment horizontal="right"/>
    </xf>
    <xf numFmtId="0" fontId="8" fillId="0" borderId="9" xfId="0" applyFont="1" applyBorder="1" applyAlignment="1">
      <alignment horizontal="center"/>
    </xf>
    <xf numFmtId="4" fontId="0" fillId="0" borderId="3" xfId="0" applyNumberFormat="1" applyBorder="1"/>
    <xf numFmtId="4" fontId="0" fillId="0" borderId="5" xfId="0" applyNumberFormat="1" applyBorder="1"/>
    <xf numFmtId="4" fontId="0" fillId="0" borderId="8" xfId="0" applyNumberFormat="1" applyBorder="1"/>
    <xf numFmtId="0" fontId="6" fillId="0" borderId="10" xfId="1" applyNumberFormat="1" applyFont="1" applyBorder="1" applyAlignment="1">
      <alignment horizontal="center"/>
    </xf>
    <xf numFmtId="1" fontId="6" fillId="0" borderId="10" xfId="1" applyNumberFormat="1" applyFont="1" applyBorder="1" applyAlignment="1">
      <alignment horizontal="center"/>
    </xf>
    <xf numFmtId="1" fontId="5" fillId="0" borderId="6" xfId="3" applyNumberFormat="1" applyFont="1" applyBorder="1" applyAlignment="1">
      <alignment horizontal="center"/>
    </xf>
    <xf numFmtId="4" fontId="8" fillId="0" borderId="8" xfId="0" applyNumberFormat="1" applyFont="1" applyBorder="1" applyAlignment="1">
      <alignment horizontal="center"/>
    </xf>
    <xf numFmtId="4" fontId="5" fillId="0" borderId="6" xfId="3" applyNumberFormat="1" applyFont="1" applyBorder="1" applyAlignment="1">
      <alignment horizontal="center"/>
    </xf>
    <xf numFmtId="168" fontId="0" fillId="0" borderId="13" xfId="0" applyNumberFormat="1" applyBorder="1" applyAlignment="1">
      <alignment horizontal="right" indent="1"/>
    </xf>
    <xf numFmtId="168" fontId="0" fillId="0" borderId="0" xfId="0" applyNumberFormat="1" applyAlignment="1">
      <alignment horizontal="center"/>
    </xf>
    <xf numFmtId="4" fontId="6" fillId="0" borderId="12" xfId="1" applyNumberFormat="1" applyFont="1" applyBorder="1" applyAlignment="1">
      <alignment horizontal="right"/>
    </xf>
    <xf numFmtId="3" fontId="13" fillId="0" borderId="14" xfId="0" applyNumberFormat="1" applyFont="1" applyBorder="1" applyAlignment="1">
      <alignment horizontal="center"/>
    </xf>
    <xf numFmtId="168" fontId="0" fillId="0" borderId="13" xfId="0" applyNumberFormat="1" applyBorder="1"/>
    <xf numFmtId="168" fontId="0" fillId="0" borderId="12" xfId="0" applyNumberFormat="1" applyBorder="1"/>
    <xf numFmtId="168" fontId="26" fillId="0" borderId="21" xfId="0" applyNumberFormat="1" applyFont="1" applyBorder="1"/>
    <xf numFmtId="168" fontId="26" fillId="0" borderId="12" xfId="0" applyNumberFormat="1" applyFont="1" applyBorder="1"/>
    <xf numFmtId="168" fontId="26" fillId="0" borderId="13" xfId="0" applyNumberFormat="1" applyFont="1" applyBorder="1"/>
    <xf numFmtId="168" fontId="0" fillId="0" borderId="21" xfId="0" applyNumberFormat="1" applyBorder="1"/>
    <xf numFmtId="168" fontId="26" fillId="0" borderId="26" xfId="0" applyNumberFormat="1" applyFont="1" applyBorder="1"/>
    <xf numFmtId="168" fontId="13" fillId="6" borderId="14" xfId="0" applyNumberFormat="1" applyFont="1" applyFill="1" applyBorder="1"/>
    <xf numFmtId="168" fontId="23" fillId="0" borderId="12" xfId="0" applyNumberFormat="1" applyFont="1" applyFill="1" applyBorder="1"/>
    <xf numFmtId="168" fontId="26" fillId="0" borderId="14" xfId="0" applyNumberFormat="1" applyFont="1" applyBorder="1"/>
    <xf numFmtId="168" fontId="26" fillId="0" borderId="15" xfId="0" applyNumberFormat="1" applyFont="1" applyBorder="1"/>
    <xf numFmtId="168" fontId="0" fillId="0" borderId="0" xfId="0" applyNumberFormat="1"/>
    <xf numFmtId="168" fontId="0" fillId="0" borderId="26" xfId="0" applyNumberFormat="1" applyBorder="1"/>
    <xf numFmtId="3" fontId="0" fillId="0" borderId="26" xfId="0" applyNumberFormat="1" applyFont="1" applyBorder="1" applyAlignment="1">
      <alignment horizontal="center"/>
    </xf>
    <xf numFmtId="168" fontId="0" fillId="0" borderId="21" xfId="0" applyNumberFormat="1" applyBorder="1" applyAlignment="1">
      <alignment horizontal="right"/>
    </xf>
    <xf numFmtId="168" fontId="0" fillId="0" borderId="12" xfId="0" applyNumberFormat="1" applyBorder="1" applyAlignment="1">
      <alignment horizontal="right"/>
    </xf>
    <xf numFmtId="168" fontId="0" fillId="0" borderId="26" xfId="0" applyNumberFormat="1" applyBorder="1" applyAlignment="1">
      <alignment horizontal="right"/>
    </xf>
    <xf numFmtId="168" fontId="0" fillId="0" borderId="21" xfId="0" applyNumberFormat="1" applyBorder="1" applyAlignment="1"/>
    <xf numFmtId="168" fontId="0" fillId="0" borderId="12" xfId="0" applyNumberFormat="1" applyBorder="1" applyAlignment="1"/>
    <xf numFmtId="168" fontId="0" fillId="0" borderId="13" xfId="0" applyNumberFormat="1" applyBorder="1" applyAlignment="1"/>
    <xf numFmtId="168" fontId="0" fillId="0" borderId="26" xfId="0" applyNumberFormat="1" applyBorder="1" applyAlignment="1"/>
    <xf numFmtId="168" fontId="0" fillId="0" borderId="14" xfId="0" applyNumberFormat="1" applyBorder="1" applyAlignment="1"/>
    <xf numFmtId="168" fontId="0" fillId="0" borderId="15" xfId="0" applyNumberFormat="1" applyBorder="1" applyAlignment="1"/>
    <xf numFmtId="168" fontId="0" fillId="0" borderId="0" xfId="0" applyNumberFormat="1" applyAlignment="1"/>
    <xf numFmtId="3" fontId="22" fillId="0" borderId="27" xfId="0" applyNumberFormat="1" applyFont="1" applyBorder="1" applyAlignment="1">
      <alignment horizontal="right" indent="1"/>
    </xf>
    <xf numFmtId="3" fontId="0" fillId="0" borderId="27" xfId="0" applyNumberFormat="1" applyBorder="1" applyAlignment="1">
      <alignment horizontal="right" indent="1"/>
    </xf>
    <xf numFmtId="168" fontId="0" fillId="0" borderId="13" xfId="0" applyNumberFormat="1" applyBorder="1" applyAlignment="1">
      <alignment horizontal="right"/>
    </xf>
    <xf numFmtId="168" fontId="0" fillId="0" borderId="21" xfId="0" applyNumberFormat="1" applyFont="1" applyBorder="1" applyAlignment="1">
      <alignment horizontal="right"/>
    </xf>
    <xf numFmtId="168" fontId="0" fillId="0" borderId="12" xfId="0" applyNumberFormat="1" applyFont="1" applyBorder="1" applyAlignment="1">
      <alignment horizontal="right"/>
    </xf>
    <xf numFmtId="168" fontId="0" fillId="0" borderId="13" xfId="0" applyNumberFormat="1" applyFont="1" applyBorder="1" applyAlignment="1">
      <alignment horizontal="right"/>
    </xf>
    <xf numFmtId="168" fontId="0" fillId="0" borderId="14" xfId="0" applyNumberFormat="1" applyBorder="1" applyAlignment="1">
      <alignment horizontal="right"/>
    </xf>
    <xf numFmtId="168" fontId="0" fillId="0" borderId="21" xfId="0" applyNumberFormat="1" applyFill="1" applyBorder="1" applyAlignment="1"/>
    <xf numFmtId="168" fontId="0" fillId="0" borderId="12" xfId="0" applyNumberFormat="1" applyFill="1" applyBorder="1" applyAlignment="1"/>
    <xf numFmtId="168" fontId="0" fillId="0" borderId="26" xfId="0" applyNumberFormat="1" applyFill="1" applyBorder="1" applyAlignment="1">
      <alignment horizontal="right" indent="1"/>
    </xf>
    <xf numFmtId="3" fontId="0" fillId="0" borderId="27" xfId="0" applyNumberFormat="1" applyBorder="1" applyAlignment="1">
      <alignment horizontal="right" indent="3"/>
    </xf>
    <xf numFmtId="168" fontId="0" fillId="0" borderId="12" xfId="0" applyNumberFormat="1" applyFill="1" applyBorder="1"/>
    <xf numFmtId="168" fontId="0" fillId="0" borderId="13" xfId="0" applyNumberFormat="1" applyFill="1" applyBorder="1"/>
    <xf numFmtId="168" fontId="25" fillId="0" borderId="21" xfId="0" applyNumberFormat="1" applyFont="1" applyBorder="1" applyAlignment="1"/>
    <xf numFmtId="168" fontId="25" fillId="0" borderId="12" xfId="0" applyNumberFormat="1" applyFont="1" applyBorder="1" applyAlignment="1"/>
    <xf numFmtId="168" fontId="29" fillId="0" borderId="13" xfId="0" applyNumberFormat="1" applyFont="1" applyBorder="1" applyAlignment="1"/>
    <xf numFmtId="168" fontId="25" fillId="0" borderId="13" xfId="0" applyNumberFormat="1" applyFont="1" applyBorder="1" applyAlignment="1"/>
    <xf numFmtId="168" fontId="25" fillId="4" borderId="12" xfId="0" applyNumberFormat="1" applyFont="1" applyFill="1" applyBorder="1" applyAlignment="1"/>
    <xf numFmtId="168" fontId="25" fillId="0" borderId="14" xfId="0" applyNumberFormat="1" applyFont="1" applyBorder="1" applyAlignment="1"/>
    <xf numFmtId="168" fontId="25" fillId="4" borderId="21" xfId="0" applyNumberFormat="1" applyFont="1" applyFill="1" applyBorder="1" applyAlignment="1"/>
    <xf numFmtId="3" fontId="22" fillId="0" borderId="13" xfId="0" applyNumberFormat="1" applyFont="1" applyBorder="1" applyAlignment="1">
      <alignment horizontal="right" indent="1"/>
    </xf>
    <xf numFmtId="168" fontId="29" fillId="6" borderId="26" xfId="0" applyNumberFormat="1" applyFont="1" applyFill="1" applyBorder="1" applyAlignment="1"/>
    <xf numFmtId="168" fontId="29" fillId="4" borderId="26" xfId="0" applyNumberFormat="1" applyFont="1" applyFill="1" applyBorder="1" applyAlignment="1"/>
    <xf numFmtId="3" fontId="0" fillId="0" borderId="12" xfId="0" applyNumberFormat="1" applyFill="1" applyBorder="1" applyAlignment="1">
      <alignment horizontal="center"/>
    </xf>
    <xf numFmtId="165" fontId="0" fillId="0" borderId="12" xfId="0" applyNumberFormat="1" applyFill="1" applyBorder="1"/>
    <xf numFmtId="168" fontId="0" fillId="0" borderId="21" xfId="0" applyNumberFormat="1" applyFill="1" applyBorder="1" applyAlignment="1">
      <alignment horizontal="right"/>
    </xf>
    <xf numFmtId="167" fontId="0" fillId="6" borderId="12" xfId="0" applyNumberFormat="1" applyFill="1" applyBorder="1" applyAlignment="1">
      <alignment horizontal="right" indent="1"/>
    </xf>
    <xf numFmtId="3" fontId="0" fillId="0" borderId="12" xfId="0" applyNumberFormat="1" applyFill="1" applyBorder="1" applyAlignment="1">
      <alignment horizontal="right" indent="1"/>
    </xf>
    <xf numFmtId="168" fontId="29" fillId="0" borderId="12" xfId="0" applyNumberFormat="1" applyFont="1" applyFill="1" applyBorder="1" applyAlignment="1"/>
    <xf numFmtId="168" fontId="25" fillId="0" borderId="12" xfId="0" applyNumberFormat="1" applyFont="1" applyFill="1" applyBorder="1" applyAlignment="1"/>
    <xf numFmtId="3" fontId="0" fillId="0" borderId="26" xfId="0" applyNumberFormat="1" applyFill="1" applyBorder="1" applyAlignment="1">
      <alignment horizontal="right" indent="1"/>
    </xf>
    <xf numFmtId="168" fontId="29" fillId="0" borderId="26" xfId="0" applyNumberFormat="1" applyFont="1" applyFill="1" applyBorder="1" applyAlignment="1"/>
    <xf numFmtId="167" fontId="22" fillId="0" borderId="12" xfId="0" applyNumberFormat="1" applyFont="1" applyBorder="1" applyAlignment="1">
      <alignment horizontal="right" indent="1"/>
    </xf>
    <xf numFmtId="4" fontId="4" fillId="0" borderId="8" xfId="1" applyNumberFormat="1" applyFill="1" applyBorder="1" applyAlignment="1">
      <alignment horizontal="right"/>
    </xf>
    <xf numFmtId="1" fontId="4" fillId="0" borderId="0" xfId="1" applyNumberFormat="1" applyFill="1" applyBorder="1" applyAlignment="1">
      <alignment horizontal="right"/>
    </xf>
    <xf numFmtId="1" fontId="4" fillId="0" borderId="4" xfId="1" applyNumberFormat="1" applyFill="1" applyBorder="1" applyAlignment="1">
      <alignment horizontal="right"/>
    </xf>
    <xf numFmtId="0" fontId="8" fillId="0" borderId="9" xfId="0" applyFont="1" applyFill="1" applyBorder="1"/>
    <xf numFmtId="4" fontId="8" fillId="0" borderId="11" xfId="0" applyNumberFormat="1" applyFont="1" applyFill="1" applyBorder="1"/>
    <xf numFmtId="168" fontId="29" fillId="0" borderId="26" xfId="0" applyNumberFormat="1" applyFont="1" applyFill="1" applyBorder="1" applyAlignment="1">
      <alignment horizontal="right" indent="1"/>
    </xf>
    <xf numFmtId="4" fontId="4" fillId="0" borderId="3" xfId="1" applyNumberFormat="1" applyFill="1" applyBorder="1" applyAlignment="1">
      <alignment horizontal="right"/>
    </xf>
    <xf numFmtId="1" fontId="4" fillId="0" borderId="0" xfId="1" applyNumberFormat="1" applyFill="1" applyBorder="1" applyAlignment="1">
      <alignment horizontal="right"/>
    </xf>
    <xf numFmtId="3" fontId="0" fillId="0" borderId="13" xfId="0" applyNumberFormat="1" applyFill="1" applyBorder="1" applyAlignment="1">
      <alignment horizontal="right" indent="1"/>
    </xf>
    <xf numFmtId="168" fontId="29" fillId="0" borderId="13" xfId="0" applyNumberFormat="1" applyFont="1" applyFill="1" applyBorder="1" applyAlignment="1"/>
    <xf numFmtId="2" fontId="6" fillId="0" borderId="10" xfId="2" applyNumberFormat="1" applyFont="1" applyBorder="1" applyAlignment="1">
      <alignment horizontal="right"/>
    </xf>
    <xf numFmtId="167" fontId="0" fillId="0" borderId="12" xfId="0" applyNumberFormat="1" applyFill="1" applyBorder="1" applyAlignment="1">
      <alignment horizontal="right" indent="1"/>
    </xf>
    <xf numFmtId="167" fontId="0" fillId="0" borderId="13" xfId="0" applyNumberFormat="1" applyFill="1" applyBorder="1" applyAlignment="1">
      <alignment horizontal="right" indent="1"/>
    </xf>
    <xf numFmtId="1" fontId="4" fillId="0" borderId="6" xfId="1" applyNumberFormat="1" applyFill="1" applyBorder="1" applyAlignment="1">
      <alignment horizontal="right"/>
    </xf>
    <xf numFmtId="2" fontId="4" fillId="0" borderId="8" xfId="1" applyNumberFormat="1" applyFill="1" applyBorder="1" applyAlignment="1">
      <alignment horizontal="right"/>
    </xf>
    <xf numFmtId="4" fontId="4" fillId="0" borderId="5" xfId="1" applyNumberFormat="1" applyBorder="1" applyAlignment="1">
      <alignment horizontal="right"/>
    </xf>
    <xf numFmtId="1" fontId="4" fillId="0" borderId="2" xfId="1" applyNumberFormat="1" applyFill="1" applyBorder="1" applyAlignment="1">
      <alignment horizontal="center" vertical="center"/>
    </xf>
    <xf numFmtId="1" fontId="4" fillId="0" borderId="0" xfId="1" applyNumberFormat="1" applyFill="1" applyBorder="1" applyAlignment="1">
      <alignment horizontal="center" vertical="center"/>
    </xf>
    <xf numFmtId="3" fontId="22" fillId="0" borderId="13" xfId="0" applyNumberFormat="1" applyFont="1" applyFill="1" applyBorder="1" applyAlignment="1">
      <alignment horizontal="right" indent="1"/>
    </xf>
    <xf numFmtId="168" fontId="25" fillId="0" borderId="13" xfId="0" applyNumberFormat="1" applyFont="1" applyFill="1" applyBorder="1" applyAlignment="1">
      <alignment horizontal="right" indent="1"/>
    </xf>
    <xf numFmtId="4" fontId="0" fillId="0" borderId="0" xfId="0" applyNumberFormat="1" applyFill="1"/>
    <xf numFmtId="4" fontId="6" fillId="0" borderId="10" xfId="1" applyNumberFormat="1" applyFont="1" applyFill="1" applyBorder="1" applyAlignment="1">
      <alignment horizontal="right"/>
    </xf>
    <xf numFmtId="3" fontId="0" fillId="0" borderId="21" xfId="0" applyNumberFormat="1" applyBorder="1" applyAlignment="1">
      <alignment horizontal="right"/>
    </xf>
    <xf numFmtId="3" fontId="0" fillId="0" borderId="12" xfId="0" applyNumberFormat="1" applyBorder="1" applyAlignment="1">
      <alignment horizontal="right"/>
    </xf>
    <xf numFmtId="3" fontId="0" fillId="0" borderId="12" xfId="0" applyNumberFormat="1" applyFill="1" applyBorder="1" applyAlignment="1">
      <alignment horizontal="right"/>
    </xf>
    <xf numFmtId="3" fontId="0" fillId="0" borderId="13" xfId="0" applyNumberFormat="1" applyFill="1" applyBorder="1" applyAlignment="1">
      <alignment horizontal="right"/>
    </xf>
    <xf numFmtId="0" fontId="7" fillId="0" borderId="1" xfId="2" applyNumberFormat="1" applyBorder="1" applyAlignment="1">
      <alignment vertical="center"/>
    </xf>
    <xf numFmtId="0" fontId="7" fillId="0" borderId="4" xfId="2" applyNumberFormat="1" applyBorder="1" applyAlignment="1">
      <alignment vertical="center"/>
    </xf>
    <xf numFmtId="168" fontId="25" fillId="0" borderId="13" xfId="0" applyNumberFormat="1" applyFont="1" applyFill="1" applyBorder="1" applyAlignment="1"/>
    <xf numFmtId="3" fontId="4" fillId="0" borderId="2" xfId="1" applyNumberFormat="1" applyFill="1" applyBorder="1" applyAlignment="1">
      <alignment horizontal="right"/>
    </xf>
    <xf numFmtId="3" fontId="4" fillId="0" borderId="0" xfId="1" applyNumberFormat="1" applyFill="1" applyBorder="1" applyAlignment="1">
      <alignment horizontal="right"/>
    </xf>
    <xf numFmtId="3" fontId="6" fillId="0" borderId="10" xfId="1" applyNumberFormat="1" applyFont="1" applyFill="1" applyBorder="1" applyAlignment="1">
      <alignment horizontal="right"/>
    </xf>
    <xf numFmtId="3" fontId="6" fillId="0" borderId="10" xfId="1" applyNumberFormat="1" applyFont="1" applyBorder="1" applyAlignment="1">
      <alignment horizontal="right"/>
    </xf>
    <xf numFmtId="1" fontId="4" fillId="0" borderId="0" xfId="1" applyNumberFormat="1" applyFill="1" applyBorder="1" applyAlignment="1">
      <alignment horizontal="center" vertical="center"/>
    </xf>
    <xf numFmtId="1" fontId="4" fillId="0" borderId="0" xfId="1" applyNumberFormat="1" applyBorder="1" applyAlignment="1">
      <alignment horizontal="center" vertical="center"/>
    </xf>
    <xf numFmtId="1" fontId="4" fillId="4" borderId="2" xfId="1" applyNumberFormat="1" applyFill="1" applyBorder="1" applyAlignment="1">
      <alignment horizontal="center" vertical="center"/>
    </xf>
    <xf numFmtId="1" fontId="4" fillId="4" borderId="0" xfId="1" applyNumberFormat="1" applyFill="1" applyBorder="1" applyAlignment="1">
      <alignment horizontal="center" vertical="center"/>
    </xf>
    <xf numFmtId="1" fontId="4" fillId="0" borderId="2" xfId="1" applyNumberFormat="1" applyBorder="1" applyAlignment="1">
      <alignment horizontal="center" vertical="center"/>
    </xf>
    <xf numFmtId="1" fontId="4" fillId="4" borderId="1" xfId="1" applyNumberFormat="1" applyFill="1" applyBorder="1" applyAlignment="1">
      <alignment horizontal="center" vertical="center"/>
    </xf>
    <xf numFmtId="1" fontId="4" fillId="0" borderId="5" xfId="1" applyNumberFormat="1" applyFill="1" applyBorder="1" applyAlignment="1">
      <alignment horizontal="center" vertical="center"/>
    </xf>
    <xf numFmtId="0" fontId="6" fillId="0" borderId="7" xfId="2" applyFont="1" applyBorder="1" applyAlignment="1">
      <alignment horizontal="center"/>
    </xf>
    <xf numFmtId="1" fontId="5" fillId="0" borderId="9" xfId="1" applyNumberFormat="1" applyFont="1" applyBorder="1" applyAlignment="1">
      <alignment horizontal="right"/>
    </xf>
    <xf numFmtId="1" fontId="5" fillId="0" borderId="10" xfId="1" applyNumberFormat="1" applyFont="1" applyBorder="1" applyAlignment="1">
      <alignment horizontal="center"/>
    </xf>
    <xf numFmtId="1" fontId="6" fillId="0" borderId="9" xfId="1" applyNumberFormat="1" applyFont="1" applyBorder="1" applyAlignment="1">
      <alignment horizontal="center"/>
    </xf>
    <xf numFmtId="2" fontId="6" fillId="0" borderId="9" xfId="1" applyNumberFormat="1" applyFont="1" applyBorder="1" applyAlignment="1">
      <alignment horizontal="center"/>
    </xf>
    <xf numFmtId="3" fontId="6" fillId="0" borderId="9" xfId="1" applyNumberFormat="1" applyFont="1" applyBorder="1" applyAlignment="1">
      <alignment horizontal="center"/>
    </xf>
    <xf numFmtId="4" fontId="6" fillId="0" borderId="12" xfId="1" applyNumberFormat="1" applyFont="1" applyBorder="1" applyAlignment="1">
      <alignment horizontal="center"/>
    </xf>
    <xf numFmtId="165" fontId="4" fillId="0" borderId="0" xfId="1" applyNumberFormat="1" applyFill="1" applyBorder="1" applyAlignment="1">
      <alignment horizontal="right"/>
    </xf>
    <xf numFmtId="164" fontId="4" fillId="0" borderId="0" xfId="1" applyNumberFormat="1" applyFill="1" applyBorder="1" applyAlignment="1">
      <alignment horizontal="right"/>
    </xf>
    <xf numFmtId="1" fontId="12" fillId="0" borderId="0" xfId="1" applyNumberFormat="1" applyFont="1" applyFill="1" applyBorder="1" applyAlignment="1">
      <alignment horizontal="center" vertical="center"/>
    </xf>
    <xf numFmtId="1" fontId="12" fillId="0" borderId="7" xfId="1" applyNumberFormat="1" applyFont="1" applyFill="1" applyBorder="1" applyAlignment="1">
      <alignment horizontal="center" vertical="center"/>
    </xf>
    <xf numFmtId="4" fontId="6" fillId="0" borderId="11" xfId="1" applyNumberFormat="1" applyFont="1" applyFill="1" applyBorder="1" applyAlignment="1">
      <alignment horizontal="right"/>
    </xf>
    <xf numFmtId="4" fontId="4" fillId="4" borderId="2" xfId="1" applyNumberFormat="1" applyFill="1" applyBorder="1" applyAlignment="1">
      <alignment horizontal="center" vertical="center"/>
    </xf>
    <xf numFmtId="1" fontId="4" fillId="4" borderId="4" xfId="1" applyNumberFormat="1" applyFill="1" applyBorder="1" applyAlignment="1">
      <alignment horizontal="center" vertical="center"/>
    </xf>
    <xf numFmtId="4" fontId="4" fillId="4" borderId="0" xfId="1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1" fontId="4" fillId="0" borderId="0" xfId="1" applyNumberFormat="1" applyFill="1" applyBorder="1" applyAlignment="1">
      <alignment horizontal="center" vertical="center"/>
    </xf>
    <xf numFmtId="1" fontId="4" fillId="0" borderId="1" xfId="1" applyNumberFormat="1" applyFill="1" applyBorder="1" applyAlignment="1">
      <alignment horizontal="center" vertical="center"/>
    </xf>
    <xf numFmtId="1" fontId="4" fillId="0" borderId="2" xfId="1" applyNumberFormat="1" applyFill="1" applyBorder="1" applyAlignment="1">
      <alignment horizontal="center" vertical="center"/>
    </xf>
    <xf numFmtId="2" fontId="4" fillId="0" borderId="4" xfId="1" applyNumberFormat="1" applyFill="1" applyBorder="1" applyAlignment="1">
      <alignment horizontal="center" vertical="center"/>
    </xf>
    <xf numFmtId="2" fontId="0" fillId="0" borderId="8" xfId="0" applyNumberFormat="1" applyBorder="1"/>
    <xf numFmtId="1" fontId="4" fillId="0" borderId="0" xfId="1" applyNumberFormat="1" applyFill="1" applyBorder="1" applyAlignment="1">
      <alignment horizontal="center" vertical="center"/>
    </xf>
    <xf numFmtId="1" fontId="4" fillId="0" borderId="1" xfId="1" applyNumberFormat="1" applyFill="1" applyBorder="1" applyAlignment="1">
      <alignment horizontal="center" vertical="center"/>
    </xf>
    <xf numFmtId="1" fontId="4" fillId="0" borderId="2" xfId="1" applyNumberFormat="1" applyFill="1" applyBorder="1" applyAlignment="1">
      <alignment horizontal="center" vertical="center"/>
    </xf>
    <xf numFmtId="1" fontId="4" fillId="0" borderId="4" xfId="1" applyNumberFormat="1" applyFill="1" applyBorder="1" applyAlignment="1">
      <alignment horizontal="center" vertical="center"/>
    </xf>
    <xf numFmtId="4" fontId="6" fillId="0" borderId="7" xfId="1" applyNumberFormat="1" applyFont="1" applyBorder="1" applyAlignment="1">
      <alignment horizontal="right"/>
    </xf>
    <xf numFmtId="3" fontId="6" fillId="0" borderId="7" xfId="1" applyNumberFormat="1" applyFont="1" applyBorder="1" applyAlignment="1">
      <alignment horizontal="right"/>
    </xf>
    <xf numFmtId="4" fontId="6" fillId="0" borderId="8" xfId="1" applyNumberFormat="1" applyFont="1" applyBorder="1" applyAlignment="1">
      <alignment horizontal="right"/>
    </xf>
    <xf numFmtId="2" fontId="4" fillId="0" borderId="2" xfId="1" applyNumberFormat="1" applyFill="1" applyBorder="1" applyAlignment="1">
      <alignment horizontal="right"/>
    </xf>
    <xf numFmtId="1" fontId="6" fillId="0" borderId="9" xfId="1" applyNumberFormat="1" applyFont="1" applyFill="1" applyBorder="1" applyAlignment="1">
      <alignment horizontal="right"/>
    </xf>
    <xf numFmtId="167" fontId="0" fillId="0" borderId="15" xfId="0" applyNumberFormat="1" applyFill="1" applyBorder="1" applyAlignment="1">
      <alignment horizontal="right" indent="1"/>
    </xf>
    <xf numFmtId="2" fontId="0" fillId="0" borderId="4" xfId="0" applyNumberFormat="1" applyFill="1" applyBorder="1" applyAlignment="1">
      <alignment horizontal="center" vertical="center"/>
    </xf>
    <xf numFmtId="2" fontId="0" fillId="0" borderId="5" xfId="0" applyNumberFormat="1" applyFill="1" applyBorder="1" applyAlignment="1">
      <alignment horizontal="center" vertical="center"/>
    </xf>
    <xf numFmtId="4" fontId="4" fillId="0" borderId="3" xfId="1" applyNumberFormat="1" applyFill="1" applyBorder="1" applyAlignment="1">
      <alignment horizontal="center" vertical="center"/>
    </xf>
    <xf numFmtId="4" fontId="4" fillId="0" borderId="5" xfId="1" applyNumberFormat="1" applyFill="1" applyBorder="1" applyAlignment="1">
      <alignment horizontal="center" vertical="center"/>
    </xf>
    <xf numFmtId="4" fontId="12" fillId="0" borderId="2" xfId="1" applyNumberFormat="1" applyFont="1" applyFill="1" applyBorder="1" applyAlignment="1">
      <alignment horizontal="center" vertical="center"/>
    </xf>
    <xf numFmtId="4" fontId="12" fillId="0" borderId="0" xfId="1" applyNumberFormat="1" applyFont="1" applyFill="1" applyBorder="1" applyAlignment="1">
      <alignment horizontal="center" vertical="center"/>
    </xf>
    <xf numFmtId="1" fontId="4" fillId="0" borderId="0" xfId="1" applyNumberFormat="1" applyFill="1" applyBorder="1" applyAlignment="1">
      <alignment horizontal="center" vertical="center"/>
    </xf>
    <xf numFmtId="1" fontId="12" fillId="0" borderId="0" xfId="1" applyNumberFormat="1" applyFont="1" applyFill="1" applyBorder="1" applyAlignment="1">
      <alignment horizontal="center" vertical="center"/>
    </xf>
    <xf numFmtId="3" fontId="12" fillId="0" borderId="0" xfId="1" applyNumberFormat="1" applyFont="1" applyFill="1" applyBorder="1" applyAlignment="1">
      <alignment horizontal="right"/>
    </xf>
    <xf numFmtId="4" fontId="12" fillId="0" borderId="5" xfId="1" applyNumberFormat="1" applyFont="1" applyFill="1" applyBorder="1" applyAlignment="1">
      <alignment horizontal="right"/>
    </xf>
    <xf numFmtId="4" fontId="0" fillId="0" borderId="5" xfId="0" applyNumberFormat="1" applyFill="1" applyBorder="1" applyAlignment="1"/>
    <xf numFmtId="3" fontId="4" fillId="0" borderId="2" xfId="1" applyNumberFormat="1" applyFill="1" applyBorder="1" applyAlignment="1">
      <alignment horizontal="center" vertical="center"/>
    </xf>
    <xf numFmtId="3" fontId="4" fillId="0" borderId="0" xfId="1" applyNumberFormat="1" applyFill="1" applyBorder="1" applyAlignment="1">
      <alignment horizontal="center" vertical="center"/>
    </xf>
    <xf numFmtId="2" fontId="4" fillId="0" borderId="3" xfId="1" applyNumberFormat="1" applyFill="1" applyBorder="1" applyAlignment="1">
      <alignment horizontal="center" vertical="center"/>
    </xf>
    <xf numFmtId="167" fontId="0" fillId="0" borderId="26" xfId="0" applyNumberFormat="1" applyFill="1" applyBorder="1" applyAlignment="1">
      <alignment horizontal="right" indent="1"/>
    </xf>
    <xf numFmtId="167" fontId="0" fillId="0" borderId="14" xfId="0" applyNumberFormat="1" applyFill="1" applyBorder="1" applyAlignment="1">
      <alignment horizontal="right" indent="1"/>
    </xf>
    <xf numFmtId="168" fontId="0" fillId="0" borderId="14" xfId="0" applyNumberFormat="1" applyFill="1" applyBorder="1" applyAlignment="1"/>
    <xf numFmtId="2" fontId="12" fillId="0" borderId="2" xfId="1" applyNumberFormat="1" applyFont="1" applyFill="1" applyBorder="1" applyAlignment="1">
      <alignment horizontal="center" vertical="center"/>
    </xf>
    <xf numFmtId="2" fontId="12" fillId="0" borderId="0" xfId="1" applyNumberFormat="1" applyFont="1" applyFill="1" applyBorder="1" applyAlignment="1">
      <alignment horizontal="center" vertical="center"/>
    </xf>
    <xf numFmtId="164" fontId="4" fillId="0" borderId="1" xfId="1" applyNumberFormat="1" applyFill="1" applyBorder="1" applyAlignment="1">
      <alignment horizontal="right"/>
    </xf>
    <xf numFmtId="2" fontId="4" fillId="0" borderId="1" xfId="1" applyNumberForma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right"/>
    </xf>
    <xf numFmtId="4" fontId="12" fillId="0" borderId="3" xfId="1" applyNumberFormat="1" applyFont="1" applyFill="1" applyBorder="1" applyAlignment="1">
      <alignment horizontal="right"/>
    </xf>
    <xf numFmtId="1" fontId="12" fillId="0" borderId="5" xfId="1" applyNumberFormat="1" applyFont="1" applyFill="1" applyBorder="1" applyAlignment="1">
      <alignment horizontal="center" vertical="center"/>
    </xf>
    <xf numFmtId="1" fontId="12" fillId="0" borderId="8" xfId="1" applyNumberFormat="1" applyFont="1" applyFill="1" applyBorder="1" applyAlignment="1">
      <alignment horizontal="center" vertical="center"/>
    </xf>
    <xf numFmtId="167" fontId="0" fillId="0" borderId="21" xfId="0" applyNumberFormat="1" applyFill="1" applyBorder="1" applyAlignment="1">
      <alignment horizontal="right" indent="1"/>
    </xf>
    <xf numFmtId="165" fontId="13" fillId="6" borderId="14" xfId="0" applyNumberFormat="1" applyFont="1" applyFill="1" applyBorder="1"/>
    <xf numFmtId="165" fontId="13" fillId="6" borderId="12" xfId="0" applyNumberFormat="1" applyFont="1" applyFill="1" applyBorder="1"/>
    <xf numFmtId="168" fontId="29" fillId="0" borderId="13" xfId="0" applyNumberFormat="1" applyFont="1" applyFill="1" applyBorder="1" applyAlignment="1">
      <alignment horizontal="right" indent="1"/>
    </xf>
    <xf numFmtId="165" fontId="22" fillId="0" borderId="12" xfId="0" applyNumberFormat="1" applyFont="1" applyFill="1" applyBorder="1"/>
    <xf numFmtId="168" fontId="22" fillId="0" borderId="12" xfId="0" applyNumberFormat="1" applyFont="1" applyFill="1" applyBorder="1"/>
    <xf numFmtId="165" fontId="22" fillId="0" borderId="13" xfId="0" applyNumberFormat="1" applyFont="1" applyFill="1" applyBorder="1"/>
    <xf numFmtId="168" fontId="22" fillId="0" borderId="13" xfId="0" applyNumberFormat="1" applyFont="1" applyFill="1" applyBorder="1"/>
    <xf numFmtId="167" fontId="13" fillId="0" borderId="14" xfId="0" applyNumberFormat="1" applyFont="1" applyFill="1" applyBorder="1" applyAlignment="1">
      <alignment horizontal="right" indent="1"/>
    </xf>
    <xf numFmtId="167" fontId="0" fillId="0" borderId="21" xfId="0" applyNumberFormat="1" applyFill="1" applyBorder="1" applyAlignment="1">
      <alignment horizontal="right"/>
    </xf>
    <xf numFmtId="4" fontId="5" fillId="0" borderId="9" xfId="3" applyNumberFormat="1" applyFont="1" applyBorder="1" applyAlignment="1">
      <alignment horizontal="right"/>
    </xf>
    <xf numFmtId="0" fontId="34" fillId="0" borderId="1" xfId="7" applyFont="1" applyBorder="1"/>
    <xf numFmtId="0" fontId="34" fillId="0" borderId="3" xfId="7" applyFont="1" applyBorder="1"/>
    <xf numFmtId="0" fontId="38" fillId="0" borderId="4" xfId="7" applyFont="1" applyBorder="1"/>
    <xf numFmtId="0" fontId="38" fillId="0" borderId="0" xfId="7" applyFont="1"/>
    <xf numFmtId="0" fontId="34" fillId="0" borderId="40" xfId="7" applyFont="1" applyBorder="1" applyAlignment="1">
      <alignment horizontal="center"/>
    </xf>
    <xf numFmtId="0" fontId="34" fillId="0" borderId="21" xfId="7" applyFont="1" applyBorder="1" applyAlignment="1">
      <alignment horizontal="center"/>
    </xf>
    <xf numFmtId="0" fontId="34" fillId="0" borderId="31" xfId="7" applyFont="1" applyBorder="1" applyAlignment="1">
      <alignment horizontal="center"/>
    </xf>
    <xf numFmtId="0" fontId="34" fillId="0" borderId="22" xfId="7" applyFont="1" applyBorder="1" applyAlignment="1">
      <alignment horizontal="center"/>
    </xf>
    <xf numFmtId="0" fontId="39" fillId="0" borderId="0" xfId="7" applyFont="1" applyAlignment="1">
      <alignment horizontal="left"/>
    </xf>
    <xf numFmtId="0" fontId="38" fillId="0" borderId="43" xfId="7" applyFont="1" applyBorder="1" applyAlignment="1">
      <alignment horizontal="center" vertical="center"/>
    </xf>
    <xf numFmtId="3" fontId="40" fillId="14" borderId="24" xfId="7" applyNumberFormat="1" applyFont="1" applyFill="1" applyBorder="1" applyAlignment="1">
      <alignment horizontal="right" vertical="center"/>
    </xf>
    <xf numFmtId="3" fontId="42" fillId="0" borderId="42" xfId="8" applyNumberFormat="1" applyFont="1" applyBorder="1" applyAlignment="1" applyProtection="1">
      <alignment horizontal="right" vertical="center"/>
      <protection locked="0"/>
    </xf>
    <xf numFmtId="3" fontId="38" fillId="13" borderId="43" xfId="7" applyNumberFormat="1" applyFont="1" applyFill="1" applyBorder="1" applyAlignment="1">
      <alignment horizontal="right" vertical="center"/>
    </xf>
    <xf numFmtId="3" fontId="38" fillId="13" borderId="12" xfId="7" applyNumberFormat="1" applyFont="1" applyFill="1" applyBorder="1" applyAlignment="1">
      <alignment horizontal="right" vertical="center"/>
    </xf>
    <xf numFmtId="3" fontId="38" fillId="13" borderId="24" xfId="7" applyNumberFormat="1" applyFont="1" applyFill="1" applyBorder="1" applyAlignment="1">
      <alignment horizontal="right" vertical="center"/>
    </xf>
    <xf numFmtId="0" fontId="43" fillId="12" borderId="0" xfId="7" applyFont="1" applyFill="1" applyAlignment="1">
      <alignment horizontal="left"/>
    </xf>
    <xf numFmtId="0" fontId="38" fillId="0" borderId="45" xfId="7" applyFont="1" applyBorder="1" applyAlignment="1">
      <alignment horizontal="center" vertical="center"/>
    </xf>
    <xf numFmtId="3" fontId="40" fillId="14" borderId="28" xfId="7" applyNumberFormat="1" applyFont="1" applyFill="1" applyBorder="1" applyAlignment="1">
      <alignment horizontal="right" vertical="center"/>
    </xf>
    <xf numFmtId="3" fontId="42" fillId="0" borderId="44" xfId="8" applyNumberFormat="1" applyFont="1" applyBorder="1" applyAlignment="1" applyProtection="1">
      <alignment horizontal="right" vertical="center"/>
      <protection locked="0"/>
    </xf>
    <xf numFmtId="3" fontId="38" fillId="13" borderId="45" xfId="7" applyNumberFormat="1" applyFont="1" applyFill="1" applyBorder="1" applyAlignment="1">
      <alignment horizontal="right" vertical="center"/>
    </xf>
    <xf numFmtId="3" fontId="38" fillId="13" borderId="27" xfId="7" applyNumberFormat="1" applyFont="1" applyFill="1" applyBorder="1" applyAlignment="1">
      <alignment horizontal="right" vertical="center"/>
    </xf>
    <xf numFmtId="3" fontId="38" fillId="13" borderId="28" xfId="7" applyNumberFormat="1" applyFont="1" applyFill="1" applyBorder="1" applyAlignment="1">
      <alignment horizontal="right" vertical="center"/>
    </xf>
    <xf numFmtId="0" fontId="38" fillId="0" borderId="25" xfId="7" applyFont="1" applyBorder="1" applyAlignment="1">
      <alignment horizontal="center" vertical="center"/>
    </xf>
    <xf numFmtId="0" fontId="34" fillId="0" borderId="26" xfId="7" applyFont="1" applyBorder="1" applyAlignment="1">
      <alignment horizontal="left" vertical="center"/>
    </xf>
    <xf numFmtId="3" fontId="40" fillId="14" borderId="48" xfId="7" applyNumberFormat="1" applyFont="1" applyFill="1" applyBorder="1" applyAlignment="1">
      <alignment horizontal="right" vertical="center"/>
    </xf>
    <xf numFmtId="3" fontId="42" fillId="0" borderId="52" xfId="8" applyNumberFormat="1" applyFont="1" applyBorder="1" applyAlignment="1" applyProtection="1">
      <alignment horizontal="center" vertical="center"/>
      <protection locked="0"/>
    </xf>
    <xf numFmtId="3" fontId="38" fillId="12" borderId="25" xfId="7" applyNumberFormat="1" applyFont="1" applyFill="1" applyBorder="1" applyAlignment="1">
      <alignment horizontal="right" vertical="center"/>
    </xf>
    <xf numFmtId="3" fontId="38" fillId="12" borderId="26" xfId="7" applyNumberFormat="1" applyFont="1" applyFill="1" applyBorder="1" applyAlignment="1">
      <alignment horizontal="right" vertical="center"/>
    </xf>
    <xf numFmtId="3" fontId="38" fillId="12" borderId="48" xfId="7" applyNumberFormat="1" applyFont="1" applyFill="1" applyBorder="1" applyAlignment="1">
      <alignment horizontal="right" vertical="center"/>
    </xf>
    <xf numFmtId="3" fontId="38" fillId="0" borderId="0" xfId="7" applyNumberFormat="1" applyFont="1"/>
    <xf numFmtId="0" fontId="34" fillId="0" borderId="46" xfId="7" applyFont="1" applyBorder="1"/>
    <xf numFmtId="0" fontId="34" fillId="0" borderId="51" xfId="7" applyFont="1" applyBorder="1"/>
    <xf numFmtId="0" fontId="34" fillId="0" borderId="12" xfId="7" applyFont="1" applyBorder="1" applyAlignment="1">
      <alignment horizontal="left" vertical="center"/>
    </xf>
    <xf numFmtId="3" fontId="40" fillId="14" borderId="12" xfId="7" applyNumberFormat="1" applyFont="1" applyFill="1" applyBorder="1" applyAlignment="1">
      <alignment horizontal="right" vertical="center"/>
    </xf>
    <xf numFmtId="3" fontId="40" fillId="14" borderId="26" xfId="7" applyNumberFormat="1" applyFont="1" applyFill="1" applyBorder="1" applyAlignment="1">
      <alignment horizontal="right" vertical="center"/>
    </xf>
    <xf numFmtId="3" fontId="42" fillId="0" borderId="52" xfId="8" applyNumberFormat="1" applyFont="1" applyBorder="1" applyAlignment="1" applyProtection="1">
      <alignment horizontal="right" vertical="center"/>
      <protection locked="0"/>
    </xf>
    <xf numFmtId="3" fontId="38" fillId="13" borderId="25" xfId="7" applyNumberFormat="1" applyFont="1" applyFill="1" applyBorder="1" applyAlignment="1">
      <alignment horizontal="right" vertical="center"/>
    </xf>
    <xf numFmtId="3" fontId="38" fillId="13" borderId="26" xfId="7" applyNumberFormat="1" applyFont="1" applyFill="1" applyBorder="1" applyAlignment="1">
      <alignment horizontal="right" vertical="center"/>
    </xf>
    <xf numFmtId="3" fontId="38" fillId="13" borderId="48" xfId="7" applyNumberFormat="1" applyFont="1" applyFill="1" applyBorder="1" applyAlignment="1">
      <alignment horizontal="right" vertical="center"/>
    </xf>
    <xf numFmtId="0" fontId="38" fillId="0" borderId="3" xfId="7" applyFont="1" applyBorder="1"/>
    <xf numFmtId="0" fontId="34" fillId="12" borderId="20" xfId="7" applyFont="1" applyFill="1" applyBorder="1" applyAlignment="1">
      <alignment horizontal="center" vertical="center"/>
    </xf>
    <xf numFmtId="0" fontId="34" fillId="12" borderId="20" xfId="7" applyFont="1" applyFill="1" applyBorder="1" applyAlignment="1">
      <alignment horizontal="center" vertical="center" wrapText="1"/>
    </xf>
    <xf numFmtId="0" fontId="34" fillId="12" borderId="38" xfId="7" applyFont="1" applyFill="1" applyBorder="1" applyAlignment="1">
      <alignment horizontal="center" vertical="center"/>
    </xf>
    <xf numFmtId="0" fontId="35" fillId="12" borderId="51" xfId="7" applyFont="1" applyFill="1" applyBorder="1" applyAlignment="1">
      <alignment horizontal="center" wrapText="1"/>
    </xf>
    <xf numFmtId="0" fontId="34" fillId="12" borderId="27" xfId="7" applyFont="1" applyFill="1" applyBorder="1" applyAlignment="1">
      <alignment horizontal="center" wrapText="1"/>
    </xf>
    <xf numFmtId="0" fontId="34" fillId="12" borderId="28" xfId="7" applyFont="1" applyFill="1" applyBorder="1" applyAlignment="1">
      <alignment horizontal="center" wrapText="1"/>
    </xf>
    <xf numFmtId="0" fontId="38" fillId="0" borderId="40" xfId="7" applyFont="1" applyBorder="1" applyAlignment="1">
      <alignment horizontal="center" vertical="center"/>
    </xf>
    <xf numFmtId="0" fontId="34" fillId="0" borderId="21" xfId="7" applyFont="1" applyBorder="1" applyAlignment="1">
      <alignment horizontal="left" vertical="center"/>
    </xf>
    <xf numFmtId="3" fontId="46" fillId="0" borderId="21" xfId="7" applyNumberFormat="1" applyFont="1" applyBorder="1" applyAlignment="1">
      <alignment horizontal="center" vertical="center"/>
    </xf>
    <xf numFmtId="3" fontId="42" fillId="0" borderId="21" xfId="8" applyNumberFormat="1" applyFont="1" applyBorder="1" applyAlignment="1" applyProtection="1">
      <alignment horizontal="center"/>
      <protection locked="0"/>
    </xf>
    <xf numFmtId="169" fontId="38" fillId="13" borderId="31" xfId="7" applyNumberFormat="1" applyFont="1" applyFill="1" applyBorder="1" applyAlignment="1">
      <alignment horizontal="right" indent="1"/>
    </xf>
    <xf numFmtId="169" fontId="38" fillId="13" borderId="21" xfId="7" applyNumberFormat="1" applyFont="1" applyFill="1" applyBorder="1" applyAlignment="1">
      <alignment horizontal="right" indent="1"/>
    </xf>
    <xf numFmtId="169" fontId="38" fillId="13" borderId="22" xfId="7" applyNumberFormat="1" applyFont="1" applyFill="1" applyBorder="1" applyAlignment="1">
      <alignment horizontal="right" indent="1"/>
    </xf>
    <xf numFmtId="9" fontId="38" fillId="0" borderId="0" xfId="9" applyFont="1"/>
    <xf numFmtId="0" fontId="38" fillId="0" borderId="53" xfId="7" applyFont="1" applyBorder="1" applyAlignment="1">
      <alignment horizontal="center" vertical="center"/>
    </xf>
    <xf numFmtId="0" fontId="34" fillId="0" borderId="14" xfId="7" applyFont="1" applyBorder="1" applyAlignment="1">
      <alignment horizontal="left" vertical="center"/>
    </xf>
    <xf numFmtId="3" fontId="46" fillId="0" borderId="14" xfId="7" applyNumberFormat="1" applyFont="1" applyBorder="1" applyAlignment="1">
      <alignment horizontal="center" vertical="center"/>
    </xf>
    <xf numFmtId="3" fontId="42" fillId="0" borderId="14" xfId="8" applyNumberFormat="1" applyFont="1" applyBorder="1" applyAlignment="1" applyProtection="1">
      <alignment horizontal="center"/>
      <protection locked="0"/>
    </xf>
    <xf numFmtId="169" fontId="38" fillId="13" borderId="8" xfId="7" applyNumberFormat="1" applyFont="1" applyFill="1" applyBorder="1" applyAlignment="1">
      <alignment horizontal="right" indent="1"/>
    </xf>
    <xf numFmtId="169" fontId="38" fillId="13" borderId="14" xfId="7" applyNumberFormat="1" applyFont="1" applyFill="1" applyBorder="1" applyAlignment="1">
      <alignment horizontal="right" indent="1"/>
    </xf>
    <xf numFmtId="169" fontId="38" fillId="13" borderId="36" xfId="7" applyNumberFormat="1" applyFont="1" applyFill="1" applyBorder="1" applyAlignment="1">
      <alignment horizontal="right" indent="1"/>
    </xf>
    <xf numFmtId="0" fontId="34" fillId="0" borderId="27" xfId="7" applyFont="1" applyBorder="1" applyAlignment="1">
      <alignment horizontal="left" vertical="center"/>
    </xf>
    <xf numFmtId="3" fontId="46" fillId="0" borderId="27" xfId="7" applyNumberFormat="1" applyFont="1" applyBorder="1" applyAlignment="1">
      <alignment horizontal="center" vertical="center"/>
    </xf>
    <xf numFmtId="3" fontId="42" fillId="0" borderId="27" xfId="8" applyNumberFormat="1" applyFont="1" applyBorder="1" applyAlignment="1" applyProtection="1">
      <alignment horizontal="center"/>
      <protection locked="0"/>
    </xf>
    <xf numFmtId="169" fontId="38" fillId="13" borderId="51" xfId="7" applyNumberFormat="1" applyFont="1" applyFill="1" applyBorder="1" applyAlignment="1">
      <alignment horizontal="right" indent="1"/>
    </xf>
    <xf numFmtId="169" fontId="38" fillId="13" borderId="27" xfId="7" applyNumberFormat="1" applyFont="1" applyFill="1" applyBorder="1" applyAlignment="1">
      <alignment horizontal="right" indent="1"/>
    </xf>
    <xf numFmtId="169" fontId="38" fillId="13" borderId="28" xfId="7" applyNumberFormat="1" applyFont="1" applyFill="1" applyBorder="1" applyAlignment="1">
      <alignment horizontal="right" indent="1"/>
    </xf>
    <xf numFmtId="0" fontId="38" fillId="0" borderId="54" xfId="7" applyFont="1" applyBorder="1" applyAlignment="1">
      <alignment horizontal="center" vertical="center"/>
    </xf>
    <xf numFmtId="0" fontId="34" fillId="0" borderId="55" xfId="7" applyFont="1" applyBorder="1" applyAlignment="1">
      <alignment horizontal="left" vertical="center"/>
    </xf>
    <xf numFmtId="3" fontId="46" fillId="0" borderId="55" xfId="7" applyNumberFormat="1" applyFont="1" applyBorder="1" applyAlignment="1">
      <alignment horizontal="center" vertical="center"/>
    </xf>
    <xf numFmtId="3" fontId="42" fillId="0" borderId="55" xfId="8" applyNumberFormat="1" applyFont="1" applyBorder="1" applyAlignment="1" applyProtection="1">
      <alignment horizontal="center"/>
      <protection locked="0"/>
    </xf>
    <xf numFmtId="169" fontId="38" fillId="12" borderId="56" xfId="7" applyNumberFormat="1" applyFont="1" applyFill="1" applyBorder="1" applyAlignment="1">
      <alignment horizontal="right" indent="1"/>
    </xf>
    <xf numFmtId="169" fontId="38" fillId="12" borderId="55" xfId="7" applyNumberFormat="1" applyFont="1" applyFill="1" applyBorder="1" applyAlignment="1">
      <alignment horizontal="right" indent="1"/>
    </xf>
    <xf numFmtId="169" fontId="38" fillId="12" borderId="57" xfId="7" applyNumberFormat="1" applyFont="1" applyFill="1" applyBorder="1" applyAlignment="1">
      <alignment horizontal="right" indent="1"/>
    </xf>
    <xf numFmtId="0" fontId="38" fillId="0" borderId="0" xfId="7" applyFont="1" applyAlignment="1">
      <alignment horizontal="center"/>
    </xf>
    <xf numFmtId="169" fontId="38" fillId="0" borderId="0" xfId="7" applyNumberFormat="1" applyFont="1" applyAlignment="1">
      <alignment horizontal="right" indent="1"/>
    </xf>
    <xf numFmtId="0" fontId="34" fillId="12" borderId="31" xfId="7" applyFont="1" applyFill="1" applyBorder="1" applyAlignment="1">
      <alignment horizontal="center" vertical="center"/>
    </xf>
    <xf numFmtId="0" fontId="34" fillId="0" borderId="38" xfId="7" applyFont="1" applyBorder="1" applyAlignment="1">
      <alignment horizontal="center" vertical="center"/>
    </xf>
    <xf numFmtId="0" fontId="47" fillId="0" borderId="0" xfId="7" applyFont="1" applyAlignment="1">
      <alignment horizontal="center"/>
    </xf>
    <xf numFmtId="3" fontId="37" fillId="14" borderId="21" xfId="7" applyNumberFormat="1" applyFont="1" applyFill="1" applyBorder="1" applyAlignment="1">
      <alignment vertical="center"/>
    </xf>
    <xf numFmtId="3" fontId="38" fillId="13" borderId="31" xfId="7" applyNumberFormat="1" applyFont="1" applyFill="1" applyBorder="1" applyAlignment="1">
      <alignment horizontal="right" indent="1"/>
    </xf>
    <xf numFmtId="3" fontId="38" fillId="13" borderId="21" xfId="7" applyNumberFormat="1" applyFont="1" applyFill="1" applyBorder="1" applyAlignment="1">
      <alignment horizontal="right" indent="1"/>
    </xf>
    <xf numFmtId="3" fontId="38" fillId="13" borderId="22" xfId="7" applyNumberFormat="1" applyFont="1" applyFill="1" applyBorder="1" applyAlignment="1">
      <alignment horizontal="right" indent="1"/>
    </xf>
    <xf numFmtId="0" fontId="48" fillId="0" borderId="0" xfId="7" applyFont="1" applyAlignment="1">
      <alignment horizontal="center"/>
    </xf>
    <xf numFmtId="0" fontId="47" fillId="0" borderId="0" xfId="7" applyFont="1"/>
    <xf numFmtId="3" fontId="37" fillId="14" borderId="14" xfId="7" applyNumberFormat="1" applyFont="1" applyFill="1" applyBorder="1" applyAlignment="1">
      <alignment vertical="center"/>
    </xf>
    <xf numFmtId="3" fontId="38" fillId="13" borderId="8" xfId="7" applyNumberFormat="1" applyFont="1" applyFill="1" applyBorder="1" applyAlignment="1">
      <alignment horizontal="right" indent="1"/>
    </xf>
    <xf numFmtId="3" fontId="38" fillId="13" borderId="14" xfId="7" applyNumberFormat="1" applyFont="1" applyFill="1" applyBorder="1" applyAlignment="1">
      <alignment horizontal="right" indent="1"/>
    </xf>
    <xf numFmtId="3" fontId="38" fillId="13" borderId="36" xfId="7" applyNumberFormat="1" applyFont="1" applyFill="1" applyBorder="1" applyAlignment="1">
      <alignment horizontal="right" indent="1"/>
    </xf>
    <xf numFmtId="3" fontId="37" fillId="14" borderId="27" xfId="7" applyNumberFormat="1" applyFont="1" applyFill="1" applyBorder="1" applyAlignment="1">
      <alignment vertical="center"/>
    </xf>
    <xf numFmtId="3" fontId="38" fillId="13" borderId="51" xfId="7" applyNumberFormat="1" applyFont="1" applyFill="1" applyBorder="1" applyAlignment="1">
      <alignment horizontal="right" indent="1"/>
    </xf>
    <xf numFmtId="3" fontId="38" fillId="13" borderId="27" xfId="7" applyNumberFormat="1" applyFont="1" applyFill="1" applyBorder="1" applyAlignment="1">
      <alignment horizontal="right" indent="1"/>
    </xf>
    <xf numFmtId="3" fontId="38" fillId="13" borderId="28" xfId="7" applyNumberFormat="1" applyFont="1" applyFill="1" applyBorder="1" applyAlignment="1">
      <alignment horizontal="right" indent="1"/>
    </xf>
    <xf numFmtId="3" fontId="37" fillId="14" borderId="55" xfId="7" applyNumberFormat="1" applyFont="1" applyFill="1" applyBorder="1" applyAlignment="1">
      <alignment vertical="center"/>
    </xf>
    <xf numFmtId="3" fontId="38" fillId="12" borderId="56" xfId="7" applyNumberFormat="1" applyFont="1" applyFill="1" applyBorder="1" applyAlignment="1">
      <alignment horizontal="right" indent="1"/>
    </xf>
    <xf numFmtId="3" fontId="38" fillId="12" borderId="55" xfId="7" applyNumberFormat="1" applyFont="1" applyFill="1" applyBorder="1" applyAlignment="1">
      <alignment horizontal="right" indent="1"/>
    </xf>
    <xf numFmtId="3" fontId="38" fillId="12" borderId="57" xfId="7" applyNumberFormat="1" applyFont="1" applyFill="1" applyBorder="1" applyAlignment="1">
      <alignment horizontal="right" indent="1"/>
    </xf>
    <xf numFmtId="3" fontId="38" fillId="0" borderId="0" xfId="7" applyNumberFormat="1" applyFont="1" applyAlignment="1">
      <alignment horizontal="right" indent="1"/>
    </xf>
    <xf numFmtId="3" fontId="38" fillId="0" borderId="0" xfId="7" applyNumberFormat="1" applyFont="1" applyAlignment="1">
      <alignment horizontal="right"/>
    </xf>
    <xf numFmtId="0" fontId="37" fillId="12" borderId="0" xfId="8" applyFont="1" applyFill="1"/>
    <xf numFmtId="3" fontId="36" fillId="12" borderId="12" xfId="8" applyNumberFormat="1" applyFont="1" applyFill="1" applyBorder="1" applyAlignment="1" applyProtection="1">
      <alignment horizontal="center"/>
      <protection locked="0"/>
    </xf>
    <xf numFmtId="0" fontId="35" fillId="12" borderId="0" xfId="8" quotePrefix="1" applyFont="1" applyFill="1" applyAlignment="1" applyProtection="1">
      <alignment horizontal="center"/>
      <protection locked="0"/>
    </xf>
    <xf numFmtId="0" fontId="1" fillId="0" borderId="0" xfId="7"/>
    <xf numFmtId="0" fontId="37" fillId="12" borderId="0" xfId="8" applyFont="1" applyFill="1" applyAlignment="1">
      <alignment horizontal="left" wrapText="1"/>
    </xf>
    <xf numFmtId="0" fontId="37" fillId="12" borderId="0" xfId="8" applyFont="1" applyFill="1" applyAlignment="1">
      <alignment horizontal="center"/>
    </xf>
    <xf numFmtId="0" fontId="37" fillId="12" borderId="0" xfId="8" quotePrefix="1" applyFont="1" applyFill="1" applyAlignment="1">
      <alignment horizontal="center"/>
    </xf>
    <xf numFmtId="0" fontId="35" fillId="12" borderId="15" xfId="8" quotePrefix="1" applyFont="1" applyFill="1" applyBorder="1" applyAlignment="1" applyProtection="1">
      <alignment horizontal="center"/>
      <protection locked="0"/>
    </xf>
    <xf numFmtId="3" fontId="35" fillId="12" borderId="15" xfId="8" quotePrefix="1" applyNumberFormat="1" applyFont="1" applyFill="1" applyBorder="1" applyAlignment="1" applyProtection="1">
      <alignment horizontal="center"/>
      <protection locked="0"/>
    </xf>
    <xf numFmtId="0" fontId="37" fillId="4" borderId="61" xfId="8" applyFont="1" applyFill="1" applyBorder="1"/>
    <xf numFmtId="0" fontId="37" fillId="0" borderId="13" xfId="8" applyFont="1" applyBorder="1" applyAlignment="1">
      <alignment horizontal="center"/>
    </xf>
    <xf numFmtId="3" fontId="37" fillId="16" borderId="14" xfId="8" applyNumberFormat="1" applyFont="1" applyFill="1" applyBorder="1" applyProtection="1">
      <protection locked="0"/>
    </xf>
    <xf numFmtId="3" fontId="52" fillId="0" borderId="14" xfId="8" applyNumberFormat="1" applyFont="1" applyBorder="1" applyProtection="1">
      <protection locked="0"/>
    </xf>
    <xf numFmtId="3" fontId="52" fillId="0" borderId="36" xfId="8" applyNumberFormat="1" applyFont="1" applyBorder="1" applyProtection="1">
      <protection locked="0"/>
    </xf>
    <xf numFmtId="0" fontId="37" fillId="4" borderId="23" xfId="8" applyFont="1" applyFill="1" applyBorder="1"/>
    <xf numFmtId="0" fontId="37" fillId="0" borderId="0" xfId="8" applyFont="1" applyAlignment="1">
      <alignment horizontal="center"/>
    </xf>
    <xf numFmtId="3" fontId="52" fillId="0" borderId="12" xfId="8" applyNumberFormat="1" applyFont="1" applyBorder="1" applyProtection="1">
      <protection locked="0"/>
    </xf>
    <xf numFmtId="3" fontId="52" fillId="0" borderId="24" xfId="8" applyNumberFormat="1" applyFont="1" applyBorder="1" applyProtection="1">
      <protection locked="0"/>
    </xf>
    <xf numFmtId="0" fontId="37" fillId="4" borderId="25" xfId="8" applyFont="1" applyFill="1" applyBorder="1"/>
    <xf numFmtId="0" fontId="37" fillId="0" borderId="62" xfId="8" applyFont="1" applyBorder="1" applyAlignment="1">
      <alignment horizontal="center"/>
    </xf>
    <xf numFmtId="3" fontId="37" fillId="16" borderId="27" xfId="8" applyNumberFormat="1" applyFont="1" applyFill="1" applyBorder="1" applyProtection="1">
      <protection locked="0"/>
    </xf>
    <xf numFmtId="3" fontId="52" fillId="0" borderId="27" xfId="8" applyNumberFormat="1" applyFont="1" applyBorder="1" applyProtection="1">
      <protection locked="0"/>
    </xf>
    <xf numFmtId="3" fontId="52" fillId="0" borderId="28" xfId="8" applyNumberFormat="1" applyFont="1" applyBorder="1" applyProtection="1">
      <protection locked="0"/>
    </xf>
    <xf numFmtId="0" fontId="37" fillId="0" borderId="23" xfId="8" applyFont="1" applyBorder="1"/>
    <xf numFmtId="3" fontId="37" fillId="16" borderId="12" xfId="8" applyNumberFormat="1" applyFont="1" applyFill="1" applyBorder="1" applyProtection="1">
      <protection locked="0"/>
    </xf>
    <xf numFmtId="0" fontId="37" fillId="0" borderId="25" xfId="8" quotePrefix="1" applyFont="1" applyBorder="1" applyAlignment="1">
      <alignment horizontal="left"/>
    </xf>
    <xf numFmtId="0" fontId="35" fillId="0" borderId="54" xfId="8" applyFont="1" applyBorder="1"/>
    <xf numFmtId="0" fontId="35" fillId="0" borderId="59" xfId="8" applyFont="1" applyBorder="1" applyAlignment="1">
      <alignment horizontal="center"/>
    </xf>
    <xf numFmtId="3" fontId="35" fillId="16" borderId="55" xfId="8" applyNumberFormat="1" applyFont="1" applyFill="1" applyBorder="1" applyProtection="1">
      <protection locked="0"/>
    </xf>
    <xf numFmtId="3" fontId="44" fillId="16" borderId="55" xfId="8" applyNumberFormat="1" applyFont="1" applyFill="1" applyBorder="1" applyProtection="1">
      <protection locked="0"/>
    </xf>
    <xf numFmtId="3" fontId="35" fillId="16" borderId="57" xfId="8" applyNumberFormat="1" applyFont="1" applyFill="1" applyBorder="1" applyProtection="1">
      <protection locked="0"/>
    </xf>
    <xf numFmtId="0" fontId="37" fillId="0" borderId="61" xfId="8" applyFont="1" applyBorder="1"/>
    <xf numFmtId="3" fontId="36" fillId="0" borderId="5" xfId="8" applyNumberFormat="1" applyFont="1" applyBorder="1" applyAlignment="1" applyProtection="1">
      <alignment horizontal="center"/>
      <protection locked="0"/>
    </xf>
    <xf numFmtId="3" fontId="52" fillId="12" borderId="14" xfId="8" applyNumberFormat="1" applyFont="1" applyFill="1" applyBorder="1" applyAlignment="1" applyProtection="1">
      <alignment horizontal="right"/>
      <protection locked="0"/>
    </xf>
    <xf numFmtId="3" fontId="37" fillId="13" borderId="14" xfId="8" applyNumberFormat="1" applyFont="1" applyFill="1" applyBorder="1" applyProtection="1">
      <protection locked="0"/>
    </xf>
    <xf numFmtId="3" fontId="37" fillId="13" borderId="6" xfId="8" applyNumberFormat="1" applyFont="1" applyFill="1" applyBorder="1" applyProtection="1">
      <protection locked="0"/>
    </xf>
    <xf numFmtId="3" fontId="37" fillId="13" borderId="36" xfId="8" applyNumberFormat="1" applyFont="1" applyFill="1" applyBorder="1" applyProtection="1">
      <protection locked="0"/>
    </xf>
    <xf numFmtId="170" fontId="47" fillId="0" borderId="0" xfId="9" applyNumberFormat="1" applyFont="1"/>
    <xf numFmtId="3" fontId="52" fillId="12" borderId="12" xfId="8" applyNumberFormat="1" applyFont="1" applyFill="1" applyBorder="1" applyAlignment="1" applyProtection="1">
      <alignment horizontal="right"/>
      <protection locked="0"/>
    </xf>
    <xf numFmtId="3" fontId="37" fillId="13" borderId="12" xfId="8" applyNumberFormat="1" applyFont="1" applyFill="1" applyBorder="1" applyProtection="1">
      <protection locked="0"/>
    </xf>
    <xf numFmtId="3" fontId="37" fillId="13" borderId="9" xfId="8" applyNumberFormat="1" applyFont="1" applyFill="1" applyBorder="1" applyProtection="1">
      <protection locked="0"/>
    </xf>
    <xf numFmtId="3" fontId="37" fillId="13" borderId="24" xfId="8" applyNumberFormat="1" applyFont="1" applyFill="1" applyBorder="1" applyProtection="1">
      <protection locked="0"/>
    </xf>
    <xf numFmtId="0" fontId="37" fillId="0" borderId="25" xfId="8" applyFont="1" applyBorder="1"/>
    <xf numFmtId="0" fontId="37" fillId="0" borderId="26" xfId="8" applyFont="1" applyBorder="1" applyAlignment="1">
      <alignment horizontal="center"/>
    </xf>
    <xf numFmtId="3" fontId="36" fillId="0" borderId="49" xfId="8" applyNumberFormat="1" applyFont="1" applyBorder="1" applyAlignment="1" applyProtection="1">
      <alignment horizontal="center"/>
      <protection locked="0"/>
    </xf>
    <xf numFmtId="3" fontId="52" fillId="12" borderId="27" xfId="8" applyNumberFormat="1" applyFont="1" applyFill="1" applyBorder="1" applyAlignment="1" applyProtection="1">
      <alignment horizontal="right"/>
      <protection locked="0"/>
    </xf>
    <xf numFmtId="3" fontId="37" fillId="13" borderId="27" xfId="8" applyNumberFormat="1" applyFont="1" applyFill="1" applyBorder="1" applyProtection="1">
      <protection locked="0"/>
    </xf>
    <xf numFmtId="3" fontId="37" fillId="13" borderId="46" xfId="8" applyNumberFormat="1" applyFont="1" applyFill="1" applyBorder="1" applyProtection="1">
      <protection locked="0"/>
    </xf>
    <xf numFmtId="3" fontId="37" fillId="13" borderId="28" xfId="8" applyNumberFormat="1" applyFont="1" applyFill="1" applyBorder="1" applyProtection="1">
      <protection locked="0"/>
    </xf>
    <xf numFmtId="3" fontId="36" fillId="0" borderId="0" xfId="8" applyNumberFormat="1" applyFont="1" applyAlignment="1" applyProtection="1">
      <alignment horizontal="center"/>
      <protection locked="0"/>
    </xf>
    <xf numFmtId="3" fontId="36" fillId="0" borderId="62" xfId="8" applyNumberFormat="1" applyFont="1" applyBorder="1" applyAlignment="1" applyProtection="1">
      <alignment horizontal="center"/>
      <protection locked="0"/>
    </xf>
    <xf numFmtId="0" fontId="35" fillId="0" borderId="55" xfId="8" applyFont="1" applyBorder="1" applyAlignment="1">
      <alignment horizontal="center"/>
    </xf>
    <xf numFmtId="3" fontId="37" fillId="0" borderId="55" xfId="8" applyNumberFormat="1" applyFont="1" applyBorder="1" applyProtection="1">
      <protection locked="0"/>
    </xf>
    <xf numFmtId="3" fontId="54" fillId="0" borderId="55" xfId="8" applyNumberFormat="1" applyFont="1" applyBorder="1"/>
    <xf numFmtId="3" fontId="35" fillId="0" borderId="55" xfId="8" applyNumberFormat="1" applyFont="1" applyBorder="1"/>
    <xf numFmtId="3" fontId="35" fillId="0" borderId="57" xfId="8" applyNumberFormat="1" applyFont="1" applyBorder="1"/>
    <xf numFmtId="0" fontId="35" fillId="0" borderId="0" xfId="8" applyFont="1"/>
    <xf numFmtId="0" fontId="35" fillId="0" borderId="0" xfId="8" applyFont="1" applyAlignment="1">
      <alignment horizontal="center"/>
    </xf>
    <xf numFmtId="3" fontId="37" fillId="0" borderId="0" xfId="8" applyNumberFormat="1" applyFont="1" applyProtection="1">
      <protection locked="0"/>
    </xf>
    <xf numFmtId="3" fontId="35" fillId="0" borderId="0" xfId="8" applyNumberFormat="1" applyFont="1"/>
    <xf numFmtId="3" fontId="55" fillId="12" borderId="0" xfId="8" applyNumberFormat="1" applyFont="1" applyFill="1"/>
    <xf numFmtId="3" fontId="38" fillId="12" borderId="0" xfId="7" applyNumberFormat="1" applyFont="1" applyFill="1"/>
    <xf numFmtId="0" fontId="35" fillId="12" borderId="58" xfId="8" applyFont="1" applyFill="1" applyBorder="1"/>
    <xf numFmtId="0" fontId="35" fillId="12" borderId="55" xfId="8" applyFont="1" applyFill="1" applyBorder="1" applyAlignment="1">
      <alignment horizontal="center"/>
    </xf>
    <xf numFmtId="3" fontId="35" fillId="12" borderId="59" xfId="8" applyNumberFormat="1" applyFont="1" applyFill="1" applyBorder="1"/>
    <xf numFmtId="3" fontId="35" fillId="12" borderId="55" xfId="8" applyNumberFormat="1" applyFont="1" applyFill="1" applyBorder="1"/>
    <xf numFmtId="3" fontId="35" fillId="12" borderId="57" xfId="8" applyNumberFormat="1" applyFont="1" applyFill="1" applyBorder="1"/>
    <xf numFmtId="3" fontId="34" fillId="4" borderId="11" xfId="7" applyNumberFormat="1" applyFont="1" applyFill="1" applyBorder="1"/>
    <xf numFmtId="3" fontId="35" fillId="12" borderId="0" xfId="8" applyNumberFormat="1" applyFont="1" applyFill="1" applyAlignment="1">
      <alignment horizontal="left" indent="1"/>
    </xf>
    <xf numFmtId="0" fontId="35" fillId="12" borderId="0" xfId="8" applyFont="1" applyFill="1" applyAlignment="1">
      <alignment horizontal="center"/>
    </xf>
    <xf numFmtId="0" fontId="56" fillId="12" borderId="0" xfId="8" applyFont="1" applyFill="1" applyAlignment="1">
      <alignment horizontal="center"/>
    </xf>
    <xf numFmtId="3" fontId="35" fillId="12" borderId="0" xfId="8" applyNumberFormat="1" applyFont="1" applyFill="1"/>
    <xf numFmtId="3" fontId="57" fillId="12" borderId="0" xfId="8" applyNumberFormat="1" applyFont="1" applyFill="1" applyAlignment="1">
      <alignment horizontal="center"/>
    </xf>
    <xf numFmtId="0" fontId="37" fillId="0" borderId="0" xfId="8" applyFont="1" applyAlignment="1">
      <alignment horizontal="left" indent="1"/>
    </xf>
    <xf numFmtId="9" fontId="46" fillId="0" borderId="0" xfId="8" applyNumberFormat="1" applyFont="1" applyAlignment="1">
      <alignment horizontal="right" indent="1"/>
    </xf>
    <xf numFmtId="0" fontId="35" fillId="0" borderId="0" xfId="7" applyFont="1" applyAlignment="1">
      <alignment horizontal="left" indent="1"/>
    </xf>
    <xf numFmtId="0" fontId="37" fillId="0" borderId="19" xfId="8" applyFont="1" applyBorder="1" applyProtection="1">
      <protection locked="0"/>
    </xf>
    <xf numFmtId="0" fontId="37" fillId="0" borderId="20" xfId="8" applyFont="1" applyBorder="1" applyAlignment="1">
      <alignment horizontal="center"/>
    </xf>
    <xf numFmtId="3" fontId="36" fillId="0" borderId="37" xfId="8" applyNumberFormat="1" applyFont="1" applyBorder="1" applyAlignment="1" applyProtection="1">
      <alignment horizontal="center"/>
      <protection locked="0"/>
    </xf>
    <xf numFmtId="3" fontId="37" fillId="13" borderId="21" xfId="8" applyNumberFormat="1" applyFont="1" applyFill="1" applyBorder="1" applyProtection="1">
      <protection locked="0"/>
    </xf>
    <xf numFmtId="3" fontId="37" fillId="13" borderId="22" xfId="8" applyNumberFormat="1" applyFont="1" applyFill="1" applyBorder="1" applyProtection="1">
      <protection locked="0"/>
    </xf>
    <xf numFmtId="3" fontId="34" fillId="12" borderId="11" xfId="7" applyNumberFormat="1" applyFont="1" applyFill="1" applyBorder="1"/>
    <xf numFmtId="0" fontId="58" fillId="0" borderId="0" xfId="7" applyFont="1"/>
    <xf numFmtId="3" fontId="59" fillId="0" borderId="0" xfId="7" applyNumberFormat="1" applyFont="1" applyAlignment="1">
      <alignment horizontal="center"/>
    </xf>
    <xf numFmtId="0" fontId="60" fillId="0" borderId="0" xfId="7" applyFont="1"/>
    <xf numFmtId="0" fontId="34" fillId="0" borderId="0" xfId="7" applyFont="1" applyAlignment="1">
      <alignment horizontal="left" indent="1"/>
    </xf>
    <xf numFmtId="0" fontId="61" fillId="0" borderId="23" xfId="8" applyFont="1" applyBorder="1" applyAlignment="1">
      <alignment horizontal="right" indent="1"/>
    </xf>
    <xf numFmtId="3" fontId="61" fillId="12" borderId="12" xfId="8" applyNumberFormat="1" applyFont="1" applyFill="1" applyBorder="1" applyProtection="1">
      <protection locked="0"/>
    </xf>
    <xf numFmtId="3" fontId="61" fillId="12" borderId="24" xfId="8" applyNumberFormat="1" applyFont="1" applyFill="1" applyBorder="1" applyProtection="1">
      <protection locked="0"/>
    </xf>
    <xf numFmtId="3" fontId="61" fillId="12" borderId="11" xfId="8" applyNumberFormat="1" applyFont="1" applyFill="1" applyBorder="1" applyProtection="1">
      <protection locked="0"/>
    </xf>
    <xf numFmtId="0" fontId="62" fillId="0" borderId="0" xfId="7" applyFont="1" applyAlignment="1">
      <alignment horizontal="left" indent="1"/>
    </xf>
    <xf numFmtId="3" fontId="37" fillId="13" borderId="27" xfId="8" applyNumberFormat="1" applyFont="1" applyFill="1" applyBorder="1"/>
    <xf numFmtId="3" fontId="37" fillId="13" borderId="28" xfId="8" applyNumberFormat="1" applyFont="1" applyFill="1" applyBorder="1"/>
    <xf numFmtId="3" fontId="35" fillId="0" borderId="59" xfId="8" applyNumberFormat="1" applyFont="1" applyBorder="1"/>
    <xf numFmtId="3" fontId="37" fillId="0" borderId="55" xfId="8" applyNumberFormat="1" applyFont="1" applyBorder="1"/>
    <xf numFmtId="3" fontId="37" fillId="0" borderId="57" xfId="8" applyNumberFormat="1" applyFont="1" applyBorder="1"/>
    <xf numFmtId="3" fontId="35" fillId="4" borderId="11" xfId="8" applyNumberFormat="1" applyFont="1" applyFill="1" applyBorder="1"/>
    <xf numFmtId="0" fontId="50" fillId="17" borderId="58" xfId="8" applyFont="1" applyFill="1" applyBorder="1"/>
    <xf numFmtId="0" fontId="50" fillId="17" borderId="59" xfId="8" applyFont="1" applyFill="1" applyBorder="1"/>
    <xf numFmtId="0" fontId="23" fillId="17" borderId="59" xfId="7" applyFont="1" applyFill="1" applyBorder="1"/>
    <xf numFmtId="0" fontId="18" fillId="17" borderId="59" xfId="7" applyFont="1" applyFill="1" applyBorder="1"/>
    <xf numFmtId="0" fontId="18" fillId="17" borderId="60" xfId="7" applyFont="1" applyFill="1" applyBorder="1"/>
    <xf numFmtId="0" fontId="50" fillId="0" borderId="55" xfId="8" applyFont="1" applyBorder="1" applyAlignment="1">
      <alignment horizontal="center" vertical="center"/>
    </xf>
    <xf numFmtId="3" fontId="50" fillId="0" borderId="56" xfId="8" applyNumberFormat="1" applyFont="1" applyBorder="1" applyAlignment="1">
      <alignment horizontal="center"/>
    </xf>
    <xf numFmtId="3" fontId="37" fillId="12" borderId="55" xfId="7" applyNumberFormat="1" applyFont="1" applyFill="1" applyBorder="1" applyAlignment="1">
      <alignment vertical="center"/>
    </xf>
    <xf numFmtId="3" fontId="37" fillId="12" borderId="57" xfId="7" applyNumberFormat="1" applyFont="1" applyFill="1" applyBorder="1" applyAlignment="1">
      <alignment vertical="center"/>
    </xf>
    <xf numFmtId="3" fontId="35" fillId="12" borderId="11" xfId="7" applyNumberFormat="1" applyFont="1" applyFill="1" applyBorder="1" applyAlignment="1">
      <alignment vertical="center"/>
    </xf>
    <xf numFmtId="0" fontId="35" fillId="0" borderId="0" xfId="7" applyFont="1" applyAlignment="1">
      <alignment horizontal="left" vertical="center" indent="1"/>
    </xf>
    <xf numFmtId="0" fontId="63" fillId="0" borderId="0" xfId="7" applyFont="1"/>
    <xf numFmtId="0" fontId="50" fillId="0" borderId="0" xfId="8" applyFont="1" applyAlignment="1">
      <alignment horizontal="center"/>
    </xf>
    <xf numFmtId="3" fontId="50" fillId="0" borderId="0" xfId="8" applyNumberFormat="1" applyFont="1"/>
    <xf numFmtId="3" fontId="64" fillId="0" borderId="0" xfId="8" applyNumberFormat="1" applyFont="1"/>
    <xf numFmtId="170" fontId="50" fillId="0" borderId="0" xfId="9" applyNumberFormat="1" applyFont="1" applyAlignment="1">
      <alignment horizontal="right"/>
    </xf>
    <xf numFmtId="0" fontId="56" fillId="0" borderId="0" xfId="7" applyFont="1" applyAlignment="1">
      <alignment horizontal="left" vertical="center" indent="1"/>
    </xf>
    <xf numFmtId="0" fontId="50" fillId="0" borderId="0" xfId="8" applyFont="1"/>
    <xf numFmtId="0" fontId="37" fillId="0" borderId="0" xfId="8" applyFont="1" applyProtection="1">
      <protection locked="0"/>
    </xf>
    <xf numFmtId="3" fontId="37" fillId="12" borderId="0" xfId="8" applyNumberFormat="1" applyFont="1" applyFill="1" applyProtection="1">
      <protection locked="0"/>
    </xf>
    <xf numFmtId="3" fontId="1" fillId="0" borderId="0" xfId="7" applyNumberFormat="1"/>
    <xf numFmtId="0" fontId="1" fillId="12" borderId="0" xfId="7" applyFill="1"/>
    <xf numFmtId="0" fontId="8" fillId="12" borderId="0" xfId="7" applyFont="1" applyFill="1"/>
    <xf numFmtId="0" fontId="36" fillId="12" borderId="0" xfId="7" applyFont="1" applyFill="1"/>
    <xf numFmtId="0" fontId="66" fillId="12" borderId="0" xfId="7" applyFont="1" applyFill="1"/>
    <xf numFmtId="0" fontId="8" fillId="12" borderId="0" xfId="7" applyFont="1" applyFill="1" applyAlignment="1">
      <alignment horizontal="right"/>
    </xf>
    <xf numFmtId="0" fontId="1" fillId="2" borderId="1" xfId="7" applyFill="1" applyBorder="1"/>
    <xf numFmtId="0" fontId="1" fillId="2" borderId="2" xfId="7" applyFill="1" applyBorder="1"/>
    <xf numFmtId="3" fontId="8" fillId="2" borderId="2" xfId="7" applyNumberFormat="1" applyFont="1" applyFill="1" applyBorder="1"/>
    <xf numFmtId="0" fontId="8" fillId="2" borderId="3" xfId="7" applyFont="1" applyFill="1" applyBorder="1"/>
    <xf numFmtId="0" fontId="1" fillId="2" borderId="4" xfId="7" applyFill="1" applyBorder="1"/>
    <xf numFmtId="9" fontId="1" fillId="2" borderId="0" xfId="7" applyNumberFormat="1" applyFill="1"/>
    <xf numFmtId="0" fontId="1" fillId="2" borderId="0" xfId="7" applyFill="1"/>
    <xf numFmtId="3" fontId="8" fillId="2" borderId="0" xfId="7" applyNumberFormat="1" applyFont="1" applyFill="1"/>
    <xf numFmtId="0" fontId="8" fillId="2" borderId="5" xfId="7" applyFont="1" applyFill="1" applyBorder="1"/>
    <xf numFmtId="0" fontId="1" fillId="2" borderId="6" xfId="7" applyFill="1" applyBorder="1"/>
    <xf numFmtId="0" fontId="1" fillId="2" borderId="7" xfId="7" applyFill="1" applyBorder="1"/>
    <xf numFmtId="3" fontId="8" fillId="2" borderId="7" xfId="7" applyNumberFormat="1" applyFont="1" applyFill="1" applyBorder="1"/>
    <xf numFmtId="0" fontId="8" fillId="2" borderId="8" xfId="7" applyFont="1" applyFill="1" applyBorder="1"/>
    <xf numFmtId="0" fontId="1" fillId="2" borderId="9" xfId="7" applyFill="1" applyBorder="1"/>
    <xf numFmtId="0" fontId="1" fillId="2" borderId="10" xfId="7" applyFill="1" applyBorder="1"/>
    <xf numFmtId="3" fontId="8" fillId="2" borderId="10" xfId="7" applyNumberFormat="1" applyFont="1" applyFill="1" applyBorder="1"/>
    <xf numFmtId="0" fontId="8" fillId="2" borderId="11" xfId="7" applyFont="1" applyFill="1" applyBorder="1"/>
    <xf numFmtId="0" fontId="66" fillId="0" borderId="0" xfId="7" applyFont="1"/>
    <xf numFmtId="0" fontId="1" fillId="12" borderId="1" xfId="7" applyFill="1" applyBorder="1"/>
    <xf numFmtId="0" fontId="1" fillId="12" borderId="2" xfId="7" applyFill="1" applyBorder="1"/>
    <xf numFmtId="3" fontId="1" fillId="12" borderId="2" xfId="7" applyNumberFormat="1" applyFill="1" applyBorder="1"/>
    <xf numFmtId="0" fontId="1" fillId="12" borderId="3" xfId="7" applyFill="1" applyBorder="1"/>
    <xf numFmtId="9" fontId="1" fillId="12" borderId="0" xfId="7" applyNumberFormat="1" applyFill="1"/>
    <xf numFmtId="0" fontId="1" fillId="12" borderId="6" xfId="7" applyFill="1" applyBorder="1"/>
    <xf numFmtId="0" fontId="1" fillId="12" borderId="7" xfId="7" applyFill="1" applyBorder="1"/>
    <xf numFmtId="3" fontId="1" fillId="12" borderId="7" xfId="7" applyNumberFormat="1" applyFill="1" applyBorder="1"/>
    <xf numFmtId="0" fontId="1" fillId="12" borderId="8" xfId="7" applyFill="1" applyBorder="1"/>
    <xf numFmtId="0" fontId="8" fillId="12" borderId="1" xfId="7" applyFont="1" applyFill="1" applyBorder="1"/>
    <xf numFmtId="3" fontId="8" fillId="12" borderId="2" xfId="7" applyNumberFormat="1" applyFont="1" applyFill="1" applyBorder="1"/>
    <xf numFmtId="0" fontId="8" fillId="12" borderId="3" xfId="7" applyFont="1" applyFill="1" applyBorder="1"/>
    <xf numFmtId="0" fontId="8" fillId="12" borderId="4" xfId="7" applyFont="1" applyFill="1" applyBorder="1"/>
    <xf numFmtId="3" fontId="8" fillId="12" borderId="0" xfId="7" applyNumberFormat="1" applyFont="1" applyFill="1"/>
    <xf numFmtId="0" fontId="8" fillId="12" borderId="5" xfId="7" applyFont="1" applyFill="1" applyBorder="1"/>
    <xf numFmtId="0" fontId="8" fillId="12" borderId="6" xfId="7" applyFont="1" applyFill="1" applyBorder="1"/>
    <xf numFmtId="3" fontId="8" fillId="12" borderId="7" xfId="7" applyNumberFormat="1" applyFont="1" applyFill="1" applyBorder="1"/>
    <xf numFmtId="0" fontId="8" fillId="12" borderId="8" xfId="7" applyFont="1" applyFill="1" applyBorder="1"/>
    <xf numFmtId="0" fontId="38" fillId="12" borderId="0" xfId="7" applyFont="1" applyFill="1" applyAlignment="1">
      <alignment vertical="center"/>
    </xf>
    <xf numFmtId="0" fontId="67" fillId="12" borderId="0" xfId="7" applyFont="1" applyFill="1" applyAlignment="1">
      <alignment vertical="center"/>
    </xf>
    <xf numFmtId="0" fontId="48" fillId="12" borderId="0" xfId="7" applyFont="1" applyFill="1" applyAlignment="1">
      <alignment vertical="center"/>
    </xf>
    <xf numFmtId="0" fontId="48" fillId="12" borderId="0" xfId="7" quotePrefix="1" applyFont="1" applyFill="1" applyAlignment="1">
      <alignment horizontal="left" vertical="center" indent="2"/>
    </xf>
    <xf numFmtId="0" fontId="38" fillId="12" borderId="0" xfId="7" quotePrefix="1" applyFont="1" applyFill="1" applyAlignment="1">
      <alignment horizontal="left" vertical="center" indent="2"/>
    </xf>
    <xf numFmtId="0" fontId="68" fillId="12" borderId="0" xfId="7" applyFont="1" applyFill="1" applyAlignment="1">
      <alignment vertical="center"/>
    </xf>
    <xf numFmtId="0" fontId="36" fillId="12" borderId="0" xfId="7" applyFont="1" applyFill="1" applyAlignment="1">
      <alignment horizontal="left" vertical="center"/>
    </xf>
    <xf numFmtId="0" fontId="38" fillId="18" borderId="0" xfId="7" applyFont="1" applyFill="1" applyAlignment="1">
      <alignment horizontal="center" vertical="center"/>
    </xf>
    <xf numFmtId="0" fontId="38" fillId="19" borderId="0" xfId="7" applyFont="1" applyFill="1" applyAlignment="1">
      <alignment horizontal="center" vertical="center"/>
    </xf>
    <xf numFmtId="0" fontId="38" fillId="3" borderId="0" xfId="7" applyFont="1" applyFill="1" applyAlignment="1">
      <alignment horizontal="center" vertical="center"/>
    </xf>
    <xf numFmtId="3" fontId="34" fillId="18" borderId="7" xfId="7" applyNumberFormat="1" applyFont="1" applyFill="1" applyBorder="1" applyAlignment="1">
      <alignment horizontal="right" vertical="center"/>
    </xf>
    <xf numFmtId="0" fontId="34" fillId="18" borderId="7" xfId="7" applyFont="1" applyFill="1" applyBorder="1" applyAlignment="1">
      <alignment horizontal="right" vertical="center"/>
    </xf>
    <xf numFmtId="3" fontId="34" fillId="19" borderId="7" xfId="7" applyNumberFormat="1" applyFont="1" applyFill="1" applyBorder="1" applyAlignment="1">
      <alignment horizontal="right" vertical="center"/>
    </xf>
    <xf numFmtId="0" fontId="34" fillId="19" borderId="7" xfId="7" applyFont="1" applyFill="1" applyBorder="1" applyAlignment="1">
      <alignment horizontal="right" vertical="center"/>
    </xf>
    <xf numFmtId="3" fontId="34" fillId="3" borderId="7" xfId="7" applyNumberFormat="1" applyFont="1" applyFill="1" applyBorder="1" applyAlignment="1">
      <alignment horizontal="right" vertical="center"/>
    </xf>
    <xf numFmtId="0" fontId="34" fillId="3" borderId="7" xfId="7" applyFont="1" applyFill="1" applyBorder="1" applyAlignment="1">
      <alignment horizontal="right" vertical="center"/>
    </xf>
    <xf numFmtId="0" fontId="34" fillId="14" borderId="7" xfId="7" applyFont="1" applyFill="1" applyBorder="1" applyAlignment="1">
      <alignment horizontal="right" vertical="center"/>
    </xf>
    <xf numFmtId="0" fontId="38" fillId="20" borderId="7" xfId="7" applyFont="1" applyFill="1" applyBorder="1" applyAlignment="1">
      <alignment horizontal="right" vertical="center"/>
    </xf>
    <xf numFmtId="0" fontId="34" fillId="20" borderId="7" xfId="7" applyFont="1" applyFill="1" applyBorder="1" applyAlignment="1">
      <alignment horizontal="right" vertical="center"/>
    </xf>
    <xf numFmtId="0" fontId="69" fillId="12" borderId="7" xfId="7" applyFont="1" applyFill="1" applyBorder="1" applyAlignment="1">
      <alignment vertical="center"/>
    </xf>
    <xf numFmtId="0" fontId="69" fillId="12" borderId="7" xfId="7" applyFont="1" applyFill="1" applyBorder="1" applyAlignment="1">
      <alignment horizontal="center" vertical="center"/>
    </xf>
    <xf numFmtId="9" fontId="47" fillId="12" borderId="7" xfId="9" applyFont="1" applyFill="1" applyBorder="1" applyAlignment="1">
      <alignment vertical="center"/>
    </xf>
    <xf numFmtId="9" fontId="69" fillId="12" borderId="7" xfId="9" applyFont="1" applyFill="1" applyBorder="1" applyAlignment="1">
      <alignment vertical="center"/>
    </xf>
    <xf numFmtId="0" fontId="8" fillId="12" borderId="63" xfId="7" applyFont="1" applyFill="1" applyBorder="1" applyAlignment="1">
      <alignment vertical="center"/>
    </xf>
    <xf numFmtId="3" fontId="8" fillId="12" borderId="63" xfId="7" applyNumberFormat="1" applyFont="1" applyFill="1" applyBorder="1" applyAlignment="1">
      <alignment vertical="center"/>
    </xf>
    <xf numFmtId="9" fontId="47" fillId="12" borderId="0" xfId="9" applyFont="1" applyFill="1" applyAlignment="1">
      <alignment vertical="center"/>
    </xf>
    <xf numFmtId="0" fontId="8" fillId="12" borderId="64" xfId="7" applyFont="1" applyFill="1" applyBorder="1" applyAlignment="1">
      <alignment horizontal="right" vertical="center" indent="1"/>
    </xf>
    <xf numFmtId="0" fontId="8" fillId="12" borderId="64" xfId="7" applyFont="1" applyFill="1" applyBorder="1" applyAlignment="1">
      <alignment vertical="center"/>
    </xf>
    <xf numFmtId="0" fontId="8" fillId="12" borderId="0" xfId="7" applyFont="1" applyFill="1" applyAlignment="1">
      <alignment vertical="center"/>
    </xf>
    <xf numFmtId="3" fontId="1" fillId="12" borderId="63" xfId="7" applyNumberFormat="1" applyFill="1" applyBorder="1" applyAlignment="1">
      <alignment vertical="center"/>
    </xf>
    <xf numFmtId="0" fontId="70" fillId="12" borderId="0" xfId="7" applyFont="1" applyFill="1" applyAlignment="1">
      <alignment horizontal="right" vertical="center"/>
    </xf>
    <xf numFmtId="0" fontId="8" fillId="17" borderId="0" xfId="7" applyFont="1" applyFill="1" applyAlignment="1">
      <alignment horizontal="left" vertical="center"/>
    </xf>
    <xf numFmtId="0" fontId="8" fillId="12" borderId="0" xfId="7" applyFont="1" applyFill="1" applyAlignment="1">
      <alignment horizontal="left" vertical="center"/>
    </xf>
    <xf numFmtId="167" fontId="8" fillId="18" borderId="0" xfId="7" applyNumberFormat="1" applyFont="1" applyFill="1" applyAlignment="1">
      <alignment horizontal="right" vertical="center"/>
    </xf>
    <xf numFmtId="3" fontId="1" fillId="18" borderId="0" xfId="7" applyNumberFormat="1" applyFill="1" applyAlignment="1">
      <alignment horizontal="right" vertical="center"/>
    </xf>
    <xf numFmtId="3" fontId="8" fillId="18" borderId="0" xfId="7" applyNumberFormat="1" applyFont="1" applyFill="1" applyAlignment="1">
      <alignment horizontal="right" vertical="center"/>
    </xf>
    <xf numFmtId="167" fontId="8" fillId="19" borderId="0" xfId="7" applyNumberFormat="1" applyFont="1" applyFill="1" applyAlignment="1">
      <alignment horizontal="right" vertical="center"/>
    </xf>
    <xf numFmtId="3" fontId="1" fillId="19" borderId="0" xfId="7" applyNumberFormat="1" applyFill="1" applyAlignment="1">
      <alignment horizontal="right" vertical="center"/>
    </xf>
    <xf numFmtId="3" fontId="8" fillId="19" borderId="0" xfId="7" applyNumberFormat="1" applyFont="1" applyFill="1" applyAlignment="1">
      <alignment horizontal="right" vertical="center"/>
    </xf>
    <xf numFmtId="3" fontId="8" fillId="3" borderId="0" xfId="7" applyNumberFormat="1" applyFont="1" applyFill="1" applyAlignment="1">
      <alignment horizontal="right" vertical="center"/>
    </xf>
    <xf numFmtId="3" fontId="1" fillId="3" borderId="0" xfId="7" applyNumberFormat="1" applyFill="1" applyAlignment="1">
      <alignment horizontal="right" vertical="center"/>
    </xf>
    <xf numFmtId="0" fontId="8" fillId="14" borderId="0" xfId="7" applyFont="1" applyFill="1" applyAlignment="1">
      <alignment horizontal="left" vertical="center"/>
    </xf>
    <xf numFmtId="3" fontId="8" fillId="17" borderId="0" xfId="7" applyNumberFormat="1" applyFont="1" applyFill="1" applyAlignment="1">
      <alignment horizontal="right" vertical="center"/>
    </xf>
    <xf numFmtId="0" fontId="46" fillId="12" borderId="0" xfId="7" applyFont="1" applyFill="1" applyAlignment="1">
      <alignment vertical="center"/>
    </xf>
    <xf numFmtId="164" fontId="46" fillId="12" borderId="0" xfId="7" applyNumberFormat="1" applyFont="1" applyFill="1" applyAlignment="1">
      <alignment vertical="center"/>
    </xf>
    <xf numFmtId="0" fontId="23" fillId="12" borderId="0" xfId="7" applyFont="1" applyFill="1" applyAlignment="1">
      <alignment vertical="center"/>
    </xf>
    <xf numFmtId="0" fontId="71" fillId="12" borderId="0" xfId="7" applyFont="1" applyFill="1" applyAlignment="1">
      <alignment vertical="center"/>
    </xf>
    <xf numFmtId="0" fontId="37" fillId="12" borderId="0" xfId="7" applyFont="1" applyFill="1" applyAlignment="1">
      <alignment vertical="center"/>
    </xf>
    <xf numFmtId="0" fontId="35" fillId="12" borderId="0" xfId="7" applyFont="1" applyFill="1" applyAlignment="1">
      <alignment vertical="center"/>
    </xf>
    <xf numFmtId="0" fontId="35" fillId="18" borderId="0" xfId="7" applyFont="1" applyFill="1" applyAlignment="1">
      <alignment horizontal="center" vertical="center"/>
    </xf>
    <xf numFmtId="0" fontId="35" fillId="21" borderId="0" xfId="7" applyFont="1" applyFill="1" applyAlignment="1">
      <alignment horizontal="center" vertical="center"/>
    </xf>
    <xf numFmtId="0" fontId="35" fillId="3" borderId="0" xfId="7" applyFont="1" applyFill="1" applyAlignment="1">
      <alignment horizontal="center" vertical="center"/>
    </xf>
    <xf numFmtId="0" fontId="23" fillId="12" borderId="0" xfId="7" applyFont="1" applyFill="1" applyAlignment="1">
      <alignment horizontal="center" vertical="center"/>
    </xf>
    <xf numFmtId="0" fontId="23" fillId="12" borderId="7" xfId="7" applyFont="1" applyFill="1" applyBorder="1" applyAlignment="1">
      <alignment vertical="center"/>
    </xf>
    <xf numFmtId="0" fontId="56" fillId="12" borderId="7" xfId="7" applyFont="1" applyFill="1" applyBorder="1" applyAlignment="1">
      <alignment vertical="center"/>
    </xf>
    <xf numFmtId="0" fontId="37" fillId="12" borderId="7" xfId="7" applyFont="1" applyFill="1" applyBorder="1" applyAlignment="1">
      <alignment vertical="center"/>
    </xf>
    <xf numFmtId="0" fontId="35" fillId="12" borderId="7" xfId="7" applyFont="1" applyFill="1" applyBorder="1" applyAlignment="1">
      <alignment vertical="center"/>
    </xf>
    <xf numFmtId="0" fontId="35" fillId="18" borderId="7" xfId="7" applyFont="1" applyFill="1" applyBorder="1" applyAlignment="1">
      <alignment horizontal="center" vertical="center"/>
    </xf>
    <xf numFmtId="0" fontId="35" fillId="21" borderId="7" xfId="7" applyFont="1" applyFill="1" applyBorder="1" applyAlignment="1">
      <alignment horizontal="center" vertical="center"/>
    </xf>
    <xf numFmtId="0" fontId="35" fillId="3" borderId="7" xfId="7" applyFont="1" applyFill="1" applyBorder="1" applyAlignment="1">
      <alignment horizontal="center" vertical="center"/>
    </xf>
    <xf numFmtId="0" fontId="23" fillId="12" borderId="65" xfId="7" applyFont="1" applyFill="1" applyBorder="1" applyAlignment="1">
      <alignment horizontal="center" vertical="center"/>
    </xf>
    <xf numFmtId="0" fontId="23" fillId="12" borderId="65" xfId="7" applyFont="1" applyFill="1" applyBorder="1" applyAlignment="1">
      <alignment vertical="center"/>
    </xf>
    <xf numFmtId="0" fontId="37" fillId="12" borderId="65" xfId="7" applyFont="1" applyFill="1" applyBorder="1" applyAlignment="1">
      <alignment vertical="center"/>
    </xf>
    <xf numFmtId="169" fontId="19" fillId="12" borderId="65" xfId="7" applyNumberFormat="1" applyFont="1" applyFill="1" applyBorder="1" applyAlignment="1">
      <alignment horizontal="right" vertical="center"/>
    </xf>
    <xf numFmtId="169" fontId="36" fillId="12" borderId="65" xfId="7" applyNumberFormat="1" applyFont="1" applyFill="1" applyBorder="1" applyAlignment="1">
      <alignment horizontal="right" vertical="center"/>
    </xf>
    <xf numFmtId="169" fontId="23" fillId="12" borderId="65" xfId="7" applyNumberFormat="1" applyFont="1" applyFill="1" applyBorder="1" applyAlignment="1">
      <alignment horizontal="right" vertical="center"/>
    </xf>
    <xf numFmtId="169" fontId="37" fillId="12" borderId="65" xfId="7" applyNumberFormat="1" applyFont="1" applyFill="1" applyBorder="1" applyAlignment="1">
      <alignment horizontal="right" vertical="center"/>
    </xf>
    <xf numFmtId="169" fontId="36" fillId="12" borderId="0" xfId="7" applyNumberFormat="1" applyFont="1" applyFill="1" applyAlignment="1">
      <alignment horizontal="right" vertical="center"/>
    </xf>
    <xf numFmtId="4" fontId="19" fillId="12" borderId="0" xfId="7" applyNumberFormat="1" applyFont="1" applyFill="1" applyAlignment="1">
      <alignment horizontal="right" vertical="center"/>
    </xf>
    <xf numFmtId="169" fontId="37" fillId="12" borderId="0" xfId="7" applyNumberFormat="1" applyFont="1" applyFill="1" applyAlignment="1">
      <alignment horizontal="right" vertical="center"/>
    </xf>
    <xf numFmtId="169" fontId="23" fillId="12" borderId="0" xfId="7" applyNumberFormat="1" applyFont="1" applyFill="1" applyAlignment="1">
      <alignment horizontal="right" vertical="center"/>
    </xf>
    <xf numFmtId="0" fontId="38" fillId="12" borderId="0" xfId="7" applyFont="1" applyFill="1" applyAlignment="1">
      <alignment horizontal="right" vertical="center"/>
    </xf>
    <xf numFmtId="0" fontId="56" fillId="12" borderId="0" xfId="10" applyFont="1" applyFill="1" applyAlignment="1">
      <alignment vertical="center"/>
    </xf>
    <xf numFmtId="0" fontId="50" fillId="12" borderId="0" xfId="10" applyFont="1" applyFill="1" applyAlignment="1">
      <alignment vertical="center"/>
    </xf>
    <xf numFmtId="0" fontId="66" fillId="12" borderId="0" xfId="7" applyFont="1" applyFill="1" applyAlignment="1">
      <alignment horizontal="left" vertical="center"/>
    </xf>
    <xf numFmtId="0" fontId="74" fillId="12" borderId="0" xfId="11" applyFill="1" applyAlignment="1">
      <alignment vertical="center"/>
    </xf>
    <xf numFmtId="3" fontId="38" fillId="12" borderId="0" xfId="7" applyNumberFormat="1" applyFont="1" applyFill="1" applyAlignment="1">
      <alignment vertical="center"/>
    </xf>
    <xf numFmtId="0" fontId="34" fillId="13" borderId="0" xfId="7" applyFont="1" applyFill="1" applyAlignment="1">
      <alignment horizontal="left" vertical="center" indent="1"/>
    </xf>
    <xf numFmtId="0" fontId="38" fillId="13" borderId="0" xfId="7" applyFont="1" applyFill="1" applyAlignment="1">
      <alignment vertical="center"/>
    </xf>
    <xf numFmtId="0" fontId="34" fillId="13" borderId="0" xfId="7" applyFont="1" applyFill="1" applyAlignment="1">
      <alignment vertical="center"/>
    </xf>
    <xf numFmtId="0" fontId="34" fillId="12" borderId="7" xfId="7" applyFont="1" applyFill="1" applyBorder="1" applyAlignment="1">
      <alignment vertical="center"/>
    </xf>
    <xf numFmtId="0" fontId="38" fillId="12" borderId="7" xfId="7" applyFont="1" applyFill="1" applyBorder="1" applyAlignment="1">
      <alignment horizontal="center" vertical="center"/>
    </xf>
    <xf numFmtId="0" fontId="38" fillId="12" borderId="66" xfId="7" applyFont="1" applyFill="1" applyBorder="1" applyAlignment="1">
      <alignment horizontal="center" vertical="center"/>
    </xf>
    <xf numFmtId="0" fontId="75" fillId="22" borderId="0" xfId="7" applyFont="1" applyFill="1" applyAlignment="1">
      <alignment horizontal="right" vertical="center"/>
    </xf>
    <xf numFmtId="164" fontId="37" fillId="13" borderId="0" xfId="7" applyNumberFormat="1" applyFont="1" applyFill="1" applyAlignment="1">
      <alignment vertical="center"/>
    </xf>
    <xf numFmtId="3" fontId="37" fillId="13" borderId="0" xfId="7" applyNumberFormat="1" applyFont="1" applyFill="1" applyAlignment="1">
      <alignment vertical="center"/>
    </xf>
    <xf numFmtId="1" fontId="38" fillId="12" borderId="67" xfId="9" applyNumberFormat="1" applyFont="1" applyFill="1" applyBorder="1" applyAlignment="1">
      <alignment vertical="center"/>
    </xf>
    <xf numFmtId="9" fontId="38" fillId="12" borderId="67" xfId="9" applyFont="1" applyFill="1" applyBorder="1" applyAlignment="1">
      <alignment vertical="center"/>
    </xf>
    <xf numFmtId="1" fontId="38" fillId="12" borderId="68" xfId="9" applyNumberFormat="1" applyFont="1" applyFill="1" applyBorder="1" applyAlignment="1">
      <alignment vertical="center"/>
    </xf>
    <xf numFmtId="9" fontId="38" fillId="12" borderId="68" xfId="9" applyFont="1" applyFill="1" applyBorder="1" applyAlignment="1">
      <alignment vertical="center"/>
    </xf>
    <xf numFmtId="164" fontId="38" fillId="12" borderId="0" xfId="7" applyNumberFormat="1" applyFont="1" applyFill="1" applyAlignment="1">
      <alignment vertical="center"/>
    </xf>
    <xf numFmtId="164" fontId="37" fillId="13" borderId="0" xfId="7" applyNumberFormat="1" applyFont="1" applyFill="1" applyAlignment="1">
      <alignment horizontal="right" vertical="center"/>
    </xf>
    <xf numFmtId="0" fontId="75" fillId="22" borderId="7" xfId="7" applyFont="1" applyFill="1" applyBorder="1" applyAlignment="1">
      <alignment horizontal="right" vertical="center"/>
    </xf>
    <xf numFmtId="164" fontId="37" fillId="13" borderId="7" xfId="7" applyNumberFormat="1" applyFont="1" applyFill="1" applyBorder="1" applyAlignment="1">
      <alignment vertical="center"/>
    </xf>
    <xf numFmtId="3" fontId="37" fillId="13" borderId="7" xfId="7" applyNumberFormat="1" applyFont="1" applyFill="1" applyBorder="1" applyAlignment="1">
      <alignment vertical="center"/>
    </xf>
    <xf numFmtId="1" fontId="38" fillId="12" borderId="66" xfId="9" applyNumberFormat="1" applyFont="1" applyFill="1" applyBorder="1" applyAlignment="1">
      <alignment vertical="center"/>
    </xf>
    <xf numFmtId="9" fontId="38" fillId="12" borderId="66" xfId="9" applyFont="1" applyFill="1" applyBorder="1" applyAlignment="1">
      <alignment vertical="center"/>
    </xf>
    <xf numFmtId="169" fontId="8" fillId="12" borderId="0" xfId="7" applyNumberFormat="1" applyFont="1" applyFill="1" applyAlignment="1">
      <alignment vertical="center"/>
    </xf>
    <xf numFmtId="3" fontId="8" fillId="12" borderId="0" xfId="7" applyNumberFormat="1" applyFont="1" applyFill="1" applyAlignment="1">
      <alignment vertical="center"/>
    </xf>
    <xf numFmtId="1" fontId="8" fillId="12" borderId="68" xfId="9" applyNumberFormat="1" applyFont="1" applyFill="1" applyBorder="1" applyAlignment="1">
      <alignment vertical="center"/>
    </xf>
    <xf numFmtId="9" fontId="8" fillId="12" borderId="68" xfId="9" applyFont="1" applyFill="1" applyBorder="1" applyAlignment="1">
      <alignment vertical="center"/>
    </xf>
    <xf numFmtId="0" fontId="47" fillId="12" borderId="0" xfId="7" applyFont="1" applyFill="1" applyAlignment="1">
      <alignment vertical="center"/>
    </xf>
    <xf numFmtId="0" fontId="34" fillId="0" borderId="12" xfId="7" applyFont="1" applyFill="1" applyBorder="1" applyAlignment="1">
      <alignment horizontal="left" vertical="center"/>
    </xf>
    <xf numFmtId="0" fontId="34" fillId="0" borderId="27" xfId="7" applyFont="1" applyFill="1" applyBorder="1" applyAlignment="1">
      <alignment horizontal="left" vertical="center"/>
    </xf>
    <xf numFmtId="4" fontId="19" fillId="12" borderId="65" xfId="7" applyNumberFormat="1" applyFont="1" applyFill="1" applyBorder="1" applyAlignment="1">
      <alignment horizontal="right" vertical="center"/>
    </xf>
    <xf numFmtId="0" fontId="38" fillId="2" borderId="0" xfId="7" applyFont="1" applyFill="1" applyAlignment="1">
      <alignment horizontal="center" vertical="center"/>
    </xf>
    <xf numFmtId="3" fontId="34" fillId="2" borderId="7" xfId="7" applyNumberFormat="1" applyFont="1" applyFill="1" applyBorder="1" applyAlignment="1">
      <alignment horizontal="right" vertical="center"/>
    </xf>
    <xf numFmtId="0" fontId="34" fillId="2" borderId="7" xfId="7" applyFont="1" applyFill="1" applyBorder="1" applyAlignment="1">
      <alignment horizontal="right" vertical="center"/>
    </xf>
    <xf numFmtId="0" fontId="35" fillId="2" borderId="0" xfId="7" applyFont="1" applyFill="1" applyAlignment="1">
      <alignment horizontal="center" vertical="center"/>
    </xf>
    <xf numFmtId="0" fontId="35" fillId="2" borderId="7" xfId="7" applyFont="1" applyFill="1" applyBorder="1" applyAlignment="1">
      <alignment horizontal="center" vertical="center"/>
    </xf>
    <xf numFmtId="3" fontId="8" fillId="2" borderId="0" xfId="7" applyNumberFormat="1" applyFont="1" applyFill="1" applyAlignment="1">
      <alignment horizontal="right" vertical="center"/>
    </xf>
    <xf numFmtId="3" fontId="1" fillId="2" borderId="0" xfId="7" applyNumberFormat="1" applyFill="1" applyAlignment="1">
      <alignment horizontal="right" vertical="center"/>
    </xf>
    <xf numFmtId="167" fontId="8" fillId="12" borderId="64" xfId="7" applyNumberFormat="1" applyFont="1" applyFill="1" applyBorder="1" applyAlignment="1">
      <alignment vertical="center"/>
    </xf>
    <xf numFmtId="3" fontId="23" fillId="12" borderId="64" xfId="7" applyNumberFormat="1" applyFont="1" applyFill="1" applyBorder="1" applyAlignment="1">
      <alignment vertical="center"/>
    </xf>
    <xf numFmtId="3" fontId="8" fillId="12" borderId="64" xfId="7" applyNumberFormat="1" applyFont="1" applyFill="1" applyBorder="1" applyAlignment="1">
      <alignment vertical="center"/>
    </xf>
    <xf numFmtId="3" fontId="23" fillId="12" borderId="63" xfId="7" applyNumberFormat="1" applyFont="1" applyFill="1" applyBorder="1" applyAlignment="1">
      <alignment vertical="center"/>
    </xf>
    <xf numFmtId="3" fontId="1" fillId="12" borderId="64" xfId="7" applyNumberFormat="1" applyFill="1" applyBorder="1" applyAlignment="1">
      <alignment vertical="center"/>
    </xf>
    <xf numFmtId="167" fontId="8" fillId="12" borderId="63" xfId="7" applyNumberFormat="1" applyFont="1" applyFill="1" applyBorder="1" applyAlignment="1">
      <alignment vertical="center"/>
    </xf>
    <xf numFmtId="3" fontId="19" fillId="12" borderId="64" xfId="7" applyNumberFormat="1" applyFont="1" applyFill="1" applyBorder="1" applyAlignment="1">
      <alignment vertical="center"/>
    </xf>
    <xf numFmtId="3" fontId="19" fillId="12" borderId="63" xfId="7" applyNumberFormat="1" applyFont="1" applyFill="1" applyBorder="1" applyAlignment="1">
      <alignment vertical="center"/>
    </xf>
    <xf numFmtId="9" fontId="38" fillId="12" borderId="0" xfId="9" applyFont="1" applyFill="1"/>
    <xf numFmtId="0" fontId="38" fillId="12" borderId="0" xfId="7" applyFont="1" applyFill="1"/>
    <xf numFmtId="3" fontId="0" fillId="0" borderId="13" xfId="0" applyNumberFormat="1" applyBorder="1" applyAlignment="1">
      <alignment horizontal="center"/>
    </xf>
    <xf numFmtId="165" fontId="0" fillId="0" borderId="14" xfId="0" applyNumberFormat="1" applyFill="1" applyBorder="1"/>
    <xf numFmtId="168" fontId="0" fillId="0" borderId="14" xfId="0" applyNumberFormat="1" applyFill="1" applyBorder="1"/>
    <xf numFmtId="3" fontId="22" fillId="0" borderId="14" xfId="0" applyNumberFormat="1" applyFont="1" applyBorder="1" applyAlignment="1">
      <alignment horizontal="right" indent="1"/>
    </xf>
    <xf numFmtId="0" fontId="8" fillId="2" borderId="69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168" fontId="8" fillId="2" borderId="27" xfId="0" applyNumberFormat="1" applyFont="1" applyFill="1" applyBorder="1" applyAlignment="1">
      <alignment horizontal="center"/>
    </xf>
    <xf numFmtId="165" fontId="8" fillId="2" borderId="27" xfId="0" applyNumberFormat="1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168" fontId="0" fillId="0" borderId="13" xfId="0" applyNumberFormat="1" applyFill="1" applyBorder="1" applyAlignment="1"/>
    <xf numFmtId="168" fontId="0" fillId="0" borderId="21" xfId="0" applyNumberFormat="1" applyFont="1" applyBorder="1" applyAlignment="1"/>
    <xf numFmtId="168" fontId="0" fillId="0" borderId="12" xfId="0" applyNumberFormat="1" applyFont="1" applyBorder="1" applyAlignment="1"/>
    <xf numFmtId="168" fontId="0" fillId="0" borderId="13" xfId="0" applyNumberFormat="1" applyFont="1" applyBorder="1" applyAlignment="1"/>
    <xf numFmtId="168" fontId="0" fillId="0" borderId="26" xfId="0" applyNumberFormat="1" applyFill="1" applyBorder="1" applyAlignment="1"/>
    <xf numFmtId="168" fontId="0" fillId="6" borderId="12" xfId="0" applyNumberFormat="1" applyFill="1" applyBorder="1" applyAlignment="1"/>
    <xf numFmtId="168" fontId="0" fillId="0" borderId="15" xfId="0" applyNumberFormat="1" applyFill="1" applyBorder="1" applyAlignment="1"/>
    <xf numFmtId="168" fontId="13" fillId="0" borderId="14" xfId="0" applyNumberFormat="1" applyFont="1" applyFill="1" applyBorder="1" applyAlignment="1"/>
    <xf numFmtId="168" fontId="22" fillId="0" borderId="12" xfId="0" applyNumberFormat="1" applyFont="1" applyBorder="1" applyAlignment="1"/>
    <xf numFmtId="3" fontId="34" fillId="12" borderId="0" xfId="7" applyNumberFormat="1" applyFont="1" applyFill="1" applyAlignment="1">
      <alignment vertical="center"/>
    </xf>
    <xf numFmtId="9" fontId="38" fillId="12" borderId="0" xfId="12" applyFont="1" applyFill="1" applyAlignment="1">
      <alignment vertical="center"/>
    </xf>
    <xf numFmtId="9" fontId="38" fillId="13" borderId="0" xfId="7" quotePrefix="1" applyNumberFormat="1" applyFont="1" applyFill="1" applyAlignment="1">
      <alignment vertical="center"/>
    </xf>
    <xf numFmtId="3" fontId="36" fillId="12" borderId="0" xfId="7" applyNumberFormat="1" applyFont="1" applyFill="1" applyAlignment="1">
      <alignment vertical="center"/>
    </xf>
    <xf numFmtId="3" fontId="48" fillId="12" borderId="0" xfId="7" applyNumberFormat="1" applyFont="1" applyFill="1" applyAlignment="1">
      <alignment vertical="center"/>
    </xf>
    <xf numFmtId="0" fontId="79" fillId="0" borderId="0" xfId="13"/>
    <xf numFmtId="0" fontId="80" fillId="0" borderId="54" xfId="13" applyFont="1" applyBorder="1" applyAlignment="1">
      <alignment horizontal="center"/>
    </xf>
    <xf numFmtId="0" fontId="80" fillId="0" borderId="57" xfId="13" applyFont="1" applyBorder="1" applyAlignment="1">
      <alignment horizontal="center"/>
    </xf>
    <xf numFmtId="0" fontId="79" fillId="0" borderId="29" xfId="13" applyBorder="1"/>
    <xf numFmtId="0" fontId="79" fillId="0" borderId="70" xfId="13" applyBorder="1"/>
    <xf numFmtId="0" fontId="79" fillId="0" borderId="71" xfId="13" applyBorder="1"/>
    <xf numFmtId="0" fontId="80" fillId="0" borderId="58" xfId="13" applyFont="1" applyBorder="1"/>
    <xf numFmtId="2" fontId="80" fillId="0" borderId="54" xfId="13" applyNumberFormat="1" applyFont="1" applyBorder="1" applyAlignment="1">
      <alignment horizontal="center"/>
    </xf>
    <xf numFmtId="3" fontId="80" fillId="0" borderId="57" xfId="13" applyNumberFormat="1" applyFont="1" applyBorder="1" applyAlignment="1">
      <alignment horizontal="center"/>
    </xf>
    <xf numFmtId="0" fontId="80" fillId="0" borderId="0" xfId="13" applyFont="1" applyBorder="1"/>
    <xf numFmtId="2" fontId="80" fillId="0" borderId="0" xfId="13" applyNumberFormat="1" applyFont="1" applyBorder="1" applyAlignment="1">
      <alignment horizontal="center"/>
    </xf>
    <xf numFmtId="3" fontId="80" fillId="0" borderId="0" xfId="13" applyNumberFormat="1" applyFont="1" applyBorder="1" applyAlignment="1">
      <alignment horizontal="center"/>
    </xf>
    <xf numFmtId="1" fontId="80" fillId="0" borderId="0" xfId="13" applyNumberFormat="1" applyFont="1" applyBorder="1" applyAlignment="1">
      <alignment horizontal="center"/>
    </xf>
    <xf numFmtId="4" fontId="79" fillId="0" borderId="53" xfId="13" applyNumberFormat="1" applyBorder="1" applyAlignment="1">
      <alignment horizontal="center"/>
    </xf>
    <xf numFmtId="3" fontId="79" fillId="0" borderId="36" xfId="13" applyNumberFormat="1" applyBorder="1" applyAlignment="1">
      <alignment horizontal="center"/>
    </xf>
    <xf numFmtId="4" fontId="79" fillId="0" borderId="43" xfId="13" applyNumberFormat="1" applyBorder="1" applyAlignment="1">
      <alignment horizontal="center"/>
    </xf>
    <xf numFmtId="3" fontId="79" fillId="0" borderId="24" xfId="13" applyNumberFormat="1" applyBorder="1" applyAlignment="1">
      <alignment horizontal="center"/>
    </xf>
    <xf numFmtId="4" fontId="79" fillId="0" borderId="72" xfId="13" applyNumberFormat="1" applyBorder="1" applyAlignment="1">
      <alignment horizontal="center"/>
    </xf>
    <xf numFmtId="3" fontId="79" fillId="0" borderId="35" xfId="13" applyNumberFormat="1" applyBorder="1" applyAlignment="1">
      <alignment horizontal="center"/>
    </xf>
    <xf numFmtId="1" fontId="79" fillId="0" borderId="24" xfId="13" applyNumberFormat="1" applyBorder="1" applyAlignment="1">
      <alignment horizontal="center"/>
    </xf>
    <xf numFmtId="0" fontId="0" fillId="5" borderId="0" xfId="0" applyFill="1"/>
    <xf numFmtId="0" fontId="8" fillId="5" borderId="0" xfId="0" applyFont="1" applyFill="1"/>
    <xf numFmtId="0" fontId="82" fillId="0" borderId="15" xfId="3" applyFont="1" applyBorder="1" applyAlignment="1">
      <alignment horizontal="center"/>
    </xf>
    <xf numFmtId="3" fontId="84" fillId="0" borderId="1" xfId="3" applyNumberFormat="1" applyFont="1" applyBorder="1" applyAlignment="1">
      <alignment horizontal="right"/>
    </xf>
    <xf numFmtId="3" fontId="84" fillId="0" borderId="2" xfId="3" applyNumberFormat="1" applyFont="1" applyBorder="1" applyAlignment="1">
      <alignment horizontal="right"/>
    </xf>
    <xf numFmtId="4" fontId="84" fillId="0" borderId="2" xfId="3" applyNumberFormat="1" applyFont="1" applyBorder="1" applyAlignment="1">
      <alignment horizontal="right"/>
    </xf>
    <xf numFmtId="3" fontId="84" fillId="0" borderId="1" xfId="3" applyNumberFormat="1" applyFont="1" applyFill="1" applyBorder="1" applyAlignment="1">
      <alignment horizontal="right"/>
    </xf>
    <xf numFmtId="3" fontId="84" fillId="0" borderId="2" xfId="3" applyNumberFormat="1" applyFont="1" applyFill="1" applyBorder="1" applyAlignment="1">
      <alignment horizontal="right"/>
    </xf>
    <xf numFmtId="4" fontId="84" fillId="0" borderId="2" xfId="3" applyNumberFormat="1" applyFont="1" applyFill="1" applyBorder="1" applyAlignment="1">
      <alignment horizontal="right"/>
    </xf>
    <xf numFmtId="4" fontId="84" fillId="0" borderId="3" xfId="3" applyNumberFormat="1" applyFont="1" applyFill="1" applyBorder="1" applyAlignment="1">
      <alignment horizontal="right"/>
    </xf>
    <xf numFmtId="3" fontId="84" fillId="0" borderId="4" xfId="3" applyNumberFormat="1" applyFont="1" applyBorder="1" applyAlignment="1">
      <alignment horizontal="right"/>
    </xf>
    <xf numFmtId="3" fontId="84" fillId="0" borderId="0" xfId="3" applyNumberFormat="1" applyFont="1" applyBorder="1" applyAlignment="1">
      <alignment horizontal="right"/>
    </xf>
    <xf numFmtId="4" fontId="84" fillId="0" borderId="0" xfId="3" applyNumberFormat="1" applyFont="1" applyBorder="1" applyAlignment="1">
      <alignment horizontal="right"/>
    </xf>
    <xf numFmtId="3" fontId="84" fillId="0" borderId="4" xfId="3" applyNumberFormat="1" applyFont="1" applyFill="1" applyBorder="1" applyAlignment="1">
      <alignment horizontal="right"/>
    </xf>
    <xf numFmtId="3" fontId="84" fillId="0" borderId="0" xfId="3" applyNumberFormat="1" applyFont="1" applyFill="1" applyBorder="1" applyAlignment="1">
      <alignment horizontal="right"/>
    </xf>
    <xf numFmtId="4" fontId="84" fillId="0" borderId="0" xfId="3" applyNumberFormat="1" applyFont="1" applyFill="1" applyBorder="1" applyAlignment="1">
      <alignment horizontal="right"/>
    </xf>
    <xf numFmtId="4" fontId="84" fillId="0" borderId="5" xfId="3" applyNumberFormat="1" applyFont="1" applyFill="1" applyBorder="1" applyAlignment="1">
      <alignment horizontal="right"/>
    </xf>
    <xf numFmtId="3" fontId="84" fillId="0" borderId="6" xfId="3" applyNumberFormat="1" applyFont="1" applyBorder="1" applyAlignment="1">
      <alignment horizontal="right"/>
    </xf>
    <xf numFmtId="3" fontId="84" fillId="0" borderId="7" xfId="3" applyNumberFormat="1" applyFont="1" applyBorder="1" applyAlignment="1">
      <alignment horizontal="right"/>
    </xf>
    <xf numFmtId="4" fontId="84" fillId="0" borderId="7" xfId="3" applyNumberFormat="1" applyFont="1" applyBorder="1" applyAlignment="1">
      <alignment horizontal="right"/>
    </xf>
    <xf numFmtId="3" fontId="84" fillId="0" borderId="6" xfId="3" applyNumberFormat="1" applyFont="1" applyFill="1" applyBorder="1" applyAlignment="1">
      <alignment horizontal="right"/>
    </xf>
    <xf numFmtId="3" fontId="84" fillId="0" borderId="7" xfId="3" applyNumberFormat="1" applyFont="1" applyFill="1" applyBorder="1" applyAlignment="1">
      <alignment horizontal="right"/>
    </xf>
    <xf numFmtId="4" fontId="84" fillId="0" borderId="7" xfId="3" applyNumberFormat="1" applyFont="1" applyFill="1" applyBorder="1" applyAlignment="1">
      <alignment horizontal="right"/>
    </xf>
    <xf numFmtId="4" fontId="84" fillId="0" borderId="8" xfId="3" applyNumberFormat="1" applyFont="1" applyFill="1" applyBorder="1" applyAlignment="1">
      <alignment horizontal="right"/>
    </xf>
    <xf numFmtId="3" fontId="82" fillId="0" borderId="6" xfId="3" applyNumberFormat="1" applyFont="1" applyBorder="1" applyAlignment="1">
      <alignment horizontal="right"/>
    </xf>
    <xf numFmtId="3" fontId="82" fillId="0" borderId="7" xfId="3" applyNumberFormat="1" applyFont="1" applyBorder="1" applyAlignment="1">
      <alignment horizontal="right"/>
    </xf>
    <xf numFmtId="4" fontId="82" fillId="0" borderId="7" xfId="3" applyNumberFormat="1" applyFont="1" applyBorder="1" applyAlignment="1">
      <alignment horizontal="right"/>
    </xf>
    <xf numFmtId="3" fontId="82" fillId="0" borderId="9" xfId="3" applyNumberFormat="1" applyFont="1" applyBorder="1" applyAlignment="1">
      <alignment horizontal="right"/>
    </xf>
    <xf numFmtId="3" fontId="82" fillId="0" borderId="10" xfId="3" applyNumberFormat="1" applyFont="1" applyBorder="1" applyAlignment="1">
      <alignment horizontal="right"/>
    </xf>
    <xf numFmtId="4" fontId="82" fillId="0" borderId="10" xfId="3" applyNumberFormat="1" applyFont="1" applyBorder="1" applyAlignment="1">
      <alignment horizontal="right"/>
    </xf>
    <xf numFmtId="0" fontId="83" fillId="0" borderId="0" xfId="0" applyFont="1"/>
    <xf numFmtId="0" fontId="82" fillId="5" borderId="15" xfId="3" applyFont="1" applyFill="1" applyBorder="1" applyAlignment="1">
      <alignment horizontal="center"/>
    </xf>
    <xf numFmtId="3" fontId="84" fillId="0" borderId="3" xfId="3" applyNumberFormat="1" applyFont="1" applyBorder="1" applyAlignment="1">
      <alignment horizontal="right"/>
    </xf>
    <xf numFmtId="165" fontId="83" fillId="0" borderId="0" xfId="0" applyNumberFormat="1" applyFont="1"/>
    <xf numFmtId="3" fontId="84" fillId="0" borderId="5" xfId="3" applyNumberFormat="1" applyFont="1" applyBorder="1" applyAlignment="1">
      <alignment horizontal="right"/>
    </xf>
    <xf numFmtId="3" fontId="84" fillId="0" borderId="8" xfId="3" applyNumberFormat="1" applyFont="1" applyBorder="1" applyAlignment="1">
      <alignment horizontal="right"/>
    </xf>
    <xf numFmtId="3" fontId="83" fillId="0" borderId="0" xfId="0" applyNumberFormat="1" applyFont="1"/>
    <xf numFmtId="0" fontId="83" fillId="0" borderId="0" xfId="0" quotePrefix="1" applyFont="1"/>
    <xf numFmtId="0" fontId="80" fillId="0" borderId="54" xfId="14" applyFont="1" applyBorder="1" applyAlignment="1">
      <alignment horizontal="center"/>
    </xf>
    <xf numFmtId="0" fontId="80" fillId="0" borderId="57" xfId="14" applyFont="1" applyBorder="1" applyAlignment="1">
      <alignment horizontal="center"/>
    </xf>
    <xf numFmtId="0" fontId="79" fillId="0" borderId="29" xfId="14" applyBorder="1"/>
    <xf numFmtId="4" fontId="79" fillId="0" borderId="53" xfId="14" applyNumberFormat="1" applyFill="1" applyBorder="1" applyAlignment="1">
      <alignment horizontal="center"/>
    </xf>
    <xf numFmtId="3" fontId="79" fillId="0" borderId="36" xfId="14" applyNumberFormat="1" applyFill="1" applyBorder="1" applyAlignment="1">
      <alignment horizontal="center"/>
    </xf>
    <xf numFmtId="0" fontId="79" fillId="0" borderId="70" xfId="14" applyBorder="1"/>
    <xf numFmtId="4" fontId="79" fillId="0" borderId="43" xfId="14" applyNumberFormat="1" applyFill="1" applyBorder="1" applyAlignment="1">
      <alignment horizontal="center"/>
    </xf>
    <xf numFmtId="3" fontId="79" fillId="0" borderId="24" xfId="14" applyNumberFormat="1" applyFill="1" applyBorder="1" applyAlignment="1">
      <alignment horizontal="center"/>
    </xf>
    <xf numFmtId="0" fontId="79" fillId="0" borderId="71" xfId="14" applyBorder="1"/>
    <xf numFmtId="0" fontId="80" fillId="0" borderId="58" xfId="14" applyFont="1" applyBorder="1"/>
    <xf numFmtId="2" fontId="80" fillId="0" borderId="54" xfId="14" applyNumberFormat="1" applyFont="1" applyBorder="1" applyAlignment="1">
      <alignment horizontal="center"/>
    </xf>
    <xf numFmtId="3" fontId="80" fillId="0" borderId="57" xfId="14" applyNumberFormat="1" applyFont="1" applyBorder="1" applyAlignment="1">
      <alignment horizontal="center"/>
    </xf>
    <xf numFmtId="0" fontId="80" fillId="0" borderId="0" xfId="14" applyFont="1" applyBorder="1"/>
    <xf numFmtId="3" fontId="80" fillId="0" borderId="0" xfId="14" applyNumberFormat="1" applyFont="1" applyBorder="1" applyAlignment="1">
      <alignment horizontal="center"/>
    </xf>
    <xf numFmtId="1" fontId="80" fillId="0" borderId="0" xfId="14" applyNumberFormat="1" applyFont="1" applyBorder="1" applyAlignment="1">
      <alignment horizontal="center"/>
    </xf>
    <xf numFmtId="4" fontId="79" fillId="0" borderId="72" xfId="14" applyNumberFormat="1" applyFont="1" applyFill="1" applyBorder="1" applyAlignment="1">
      <alignment horizontal="center"/>
    </xf>
    <xf numFmtId="3" fontId="79" fillId="0" borderId="35" xfId="14" applyNumberFormat="1" applyFont="1" applyFill="1" applyBorder="1" applyAlignment="1">
      <alignment horizontal="center"/>
    </xf>
    <xf numFmtId="0" fontId="83" fillId="5" borderId="0" xfId="0" applyFont="1" applyFill="1"/>
    <xf numFmtId="0" fontId="79" fillId="0" borderId="0" xfId="15"/>
    <xf numFmtId="0" fontId="80" fillId="0" borderId="54" xfId="15" applyFont="1" applyBorder="1" applyAlignment="1">
      <alignment horizontal="center"/>
    </xf>
    <xf numFmtId="0" fontId="80" fillId="0" borderId="57" xfId="15" applyFont="1" applyBorder="1" applyAlignment="1">
      <alignment horizontal="center"/>
    </xf>
    <xf numFmtId="0" fontId="79" fillId="0" borderId="29" xfId="15" applyBorder="1"/>
    <xf numFmtId="0" fontId="79" fillId="0" borderId="70" xfId="15" applyBorder="1"/>
    <xf numFmtId="0" fontId="79" fillId="0" borderId="71" xfId="15" applyBorder="1"/>
    <xf numFmtId="0" fontId="80" fillId="0" borderId="58" xfId="15" applyFont="1" applyBorder="1"/>
    <xf numFmtId="0" fontId="80" fillId="0" borderId="59" xfId="15" applyFont="1" applyBorder="1" applyAlignment="1">
      <alignment horizontal="center"/>
    </xf>
    <xf numFmtId="167" fontId="79" fillId="0" borderId="53" xfId="15" applyNumberFormat="1" applyFill="1" applyBorder="1" applyAlignment="1">
      <alignment horizontal="center"/>
    </xf>
    <xf numFmtId="167" fontId="79" fillId="0" borderId="43" xfId="15" applyNumberFormat="1" applyFill="1" applyBorder="1" applyAlignment="1">
      <alignment horizontal="center"/>
    </xf>
    <xf numFmtId="165" fontId="79" fillId="0" borderId="7" xfId="15" applyNumberFormat="1" applyFill="1" applyBorder="1" applyAlignment="1">
      <alignment horizontal="center"/>
    </xf>
    <xf numFmtId="165" fontId="79" fillId="0" borderId="36" xfId="15" applyNumberFormat="1" applyFill="1" applyBorder="1" applyAlignment="1">
      <alignment horizontal="center"/>
    </xf>
    <xf numFmtId="165" fontId="79" fillId="0" borderId="43" xfId="15" applyNumberFormat="1" applyFill="1" applyBorder="1" applyAlignment="1">
      <alignment horizontal="center"/>
    </xf>
    <xf numFmtId="165" fontId="79" fillId="0" borderId="10" xfId="15" applyNumberFormat="1" applyFill="1" applyBorder="1" applyAlignment="1">
      <alignment horizontal="center"/>
    </xf>
    <xf numFmtId="165" fontId="79" fillId="0" borderId="24" xfId="15" applyNumberFormat="1" applyFill="1" applyBorder="1" applyAlignment="1">
      <alignment horizontal="center"/>
    </xf>
    <xf numFmtId="165" fontId="79" fillId="0" borderId="72" xfId="15" applyNumberFormat="1" applyFill="1" applyBorder="1" applyAlignment="1">
      <alignment horizontal="center"/>
    </xf>
    <xf numFmtId="165" fontId="79" fillId="0" borderId="2" xfId="15" applyNumberFormat="1" applyFill="1" applyBorder="1" applyAlignment="1">
      <alignment horizontal="center"/>
    </xf>
    <xf numFmtId="165" fontId="80" fillId="0" borderId="54" xfId="15" applyNumberFormat="1" applyFont="1" applyBorder="1" applyAlignment="1">
      <alignment horizontal="center"/>
    </xf>
    <xf numFmtId="165" fontId="80" fillId="0" borderId="59" xfId="15" applyNumberFormat="1" applyFont="1" applyBorder="1" applyAlignment="1">
      <alignment horizontal="center"/>
    </xf>
    <xf numFmtId="165" fontId="80" fillId="0" borderId="57" xfId="15" applyNumberFormat="1" applyFont="1" applyBorder="1" applyAlignment="1">
      <alignment horizontal="center"/>
    </xf>
    <xf numFmtId="0" fontId="86" fillId="0" borderId="2" xfId="1" applyNumberFormat="1" applyFont="1" applyBorder="1" applyAlignment="1">
      <alignment horizontal="right"/>
    </xf>
    <xf numFmtId="0" fontId="86" fillId="0" borderId="0" xfId="1" applyNumberFormat="1" applyFont="1" applyBorder="1" applyAlignment="1">
      <alignment horizontal="right"/>
    </xf>
    <xf numFmtId="1" fontId="86" fillId="0" borderId="0" xfId="1" applyNumberFormat="1" applyFont="1" applyBorder="1" applyAlignment="1">
      <alignment horizontal="right"/>
    </xf>
    <xf numFmtId="0" fontId="87" fillId="0" borderId="0" xfId="0" applyFont="1"/>
    <xf numFmtId="0" fontId="0" fillId="0" borderId="29" xfId="0" applyBorder="1"/>
    <xf numFmtId="0" fontId="0" fillId="0" borderId="70" xfId="0" applyBorder="1"/>
    <xf numFmtId="0" fontId="0" fillId="0" borderId="71" xfId="0" applyBorder="1"/>
    <xf numFmtId="0" fontId="80" fillId="0" borderId="58" xfId="0" applyFont="1" applyBorder="1"/>
    <xf numFmtId="0" fontId="0" fillId="11" borderId="0" xfId="0" applyFill="1"/>
    <xf numFmtId="0" fontId="8" fillId="11" borderId="0" xfId="0" applyFont="1" applyFill="1"/>
    <xf numFmtId="0" fontId="0" fillId="0" borderId="70" xfId="0" applyFill="1" applyBorder="1"/>
    <xf numFmtId="3" fontId="88" fillId="0" borderId="53" xfId="0" applyNumberFormat="1" applyFont="1" applyFill="1" applyBorder="1" applyAlignment="1">
      <alignment horizontal="right" indent="1"/>
    </xf>
    <xf numFmtId="3" fontId="88" fillId="0" borderId="14" xfId="0" applyNumberFormat="1" applyFont="1" applyFill="1" applyBorder="1" applyAlignment="1">
      <alignment horizontal="right" indent="1"/>
    </xf>
    <xf numFmtId="3" fontId="88" fillId="0" borderId="7" xfId="0" applyNumberFormat="1" applyFont="1" applyFill="1" applyBorder="1" applyAlignment="1">
      <alignment horizontal="right" indent="1"/>
    </xf>
    <xf numFmtId="3" fontId="88" fillId="0" borderId="36" xfId="0" applyNumberFormat="1" applyFont="1" applyFill="1" applyBorder="1" applyAlignment="1">
      <alignment horizontal="right" indent="1"/>
    </xf>
    <xf numFmtId="3" fontId="88" fillId="0" borderId="43" xfId="0" applyNumberFormat="1" applyFont="1" applyFill="1" applyBorder="1" applyAlignment="1">
      <alignment horizontal="right" indent="1"/>
    </xf>
    <xf numFmtId="3" fontId="88" fillId="0" borderId="12" xfId="0" applyNumberFormat="1" applyFont="1" applyFill="1" applyBorder="1" applyAlignment="1">
      <alignment horizontal="right" indent="1"/>
    </xf>
    <xf numFmtId="3" fontId="88" fillId="0" borderId="10" xfId="0" applyNumberFormat="1" applyFont="1" applyFill="1" applyBorder="1" applyAlignment="1">
      <alignment horizontal="right" indent="1"/>
    </xf>
    <xf numFmtId="3" fontId="88" fillId="0" borderId="24" xfId="0" applyNumberFormat="1" applyFont="1" applyFill="1" applyBorder="1" applyAlignment="1">
      <alignment horizontal="right" indent="1"/>
    </xf>
    <xf numFmtId="3" fontId="79" fillId="0" borderId="24" xfId="0" applyNumberFormat="1" applyFont="1" applyFill="1" applyBorder="1" applyAlignment="1">
      <alignment horizontal="right" indent="1"/>
    </xf>
    <xf numFmtId="3" fontId="88" fillId="0" borderId="72" xfId="0" applyNumberFormat="1" applyFont="1" applyFill="1" applyBorder="1" applyAlignment="1">
      <alignment horizontal="right" indent="1"/>
    </xf>
    <xf numFmtId="3" fontId="88" fillId="0" borderId="15" xfId="0" applyNumberFormat="1" applyFont="1" applyFill="1" applyBorder="1" applyAlignment="1">
      <alignment horizontal="right" indent="1"/>
    </xf>
    <xf numFmtId="3" fontId="88" fillId="0" borderId="2" xfId="0" applyNumberFormat="1" applyFont="1" applyFill="1" applyBorder="1" applyAlignment="1">
      <alignment horizontal="right" indent="1"/>
    </xf>
    <xf numFmtId="3" fontId="80" fillId="0" borderId="54" xfId="0" applyNumberFormat="1" applyFont="1" applyBorder="1" applyAlignment="1">
      <alignment horizontal="right" indent="1"/>
    </xf>
    <xf numFmtId="3" fontId="80" fillId="0" borderId="55" xfId="0" applyNumberFormat="1" applyFont="1" applyBorder="1" applyAlignment="1">
      <alignment horizontal="right" indent="1"/>
    </xf>
    <xf numFmtId="3" fontId="80" fillId="0" borderId="59" xfId="0" applyNumberFormat="1" applyFont="1" applyBorder="1" applyAlignment="1">
      <alignment horizontal="right" indent="1"/>
    </xf>
    <xf numFmtId="3" fontId="80" fillId="0" borderId="57" xfId="0" applyNumberFormat="1" applyFont="1" applyBorder="1" applyAlignment="1">
      <alignment horizontal="right" indent="1"/>
    </xf>
    <xf numFmtId="0" fontId="89" fillId="0" borderId="54" xfId="0" applyFont="1" applyBorder="1" applyAlignment="1">
      <alignment horizontal="center"/>
    </xf>
    <xf numFmtId="0" fontId="89" fillId="0" borderId="55" xfId="0" applyFont="1" applyBorder="1" applyAlignment="1">
      <alignment horizontal="center"/>
    </xf>
    <xf numFmtId="0" fontId="89" fillId="0" borderId="59" xfId="0" applyFont="1" applyBorder="1" applyAlignment="1">
      <alignment horizontal="center"/>
    </xf>
    <xf numFmtId="0" fontId="89" fillId="0" borderId="57" xfId="0" applyFont="1" applyBorder="1" applyAlignment="1">
      <alignment horizontal="center"/>
    </xf>
    <xf numFmtId="4" fontId="91" fillId="0" borderId="1" xfId="1" applyNumberFormat="1" applyFont="1" applyBorder="1" applyAlignment="1">
      <alignment horizontal="center" vertical="center"/>
    </xf>
    <xf numFmtId="4" fontId="91" fillId="0" borderId="3" xfId="1" applyNumberFormat="1" applyFont="1" applyBorder="1" applyAlignment="1">
      <alignment horizontal="center" vertical="center"/>
    </xf>
    <xf numFmtId="4" fontId="90" fillId="0" borderId="4" xfId="0" applyNumberFormat="1" applyFont="1" applyBorder="1" applyAlignment="1"/>
    <xf numFmtId="4" fontId="90" fillId="0" borderId="5" xfId="0" applyNumberFormat="1" applyFont="1" applyBorder="1" applyAlignment="1"/>
    <xf numFmtId="4" fontId="91" fillId="0" borderId="0" xfId="1" applyNumberFormat="1" applyFont="1" applyBorder="1" applyAlignment="1">
      <alignment horizontal="right"/>
    </xf>
    <xf numFmtId="4" fontId="91" fillId="0" borderId="4" xfId="1" applyNumberFormat="1" applyFont="1" applyBorder="1" applyAlignment="1">
      <alignment horizontal="right"/>
    </xf>
    <xf numFmtId="4" fontId="91" fillId="0" borderId="5" xfId="1" applyNumberFormat="1" applyFont="1" applyBorder="1" applyAlignment="1">
      <alignment horizontal="right"/>
    </xf>
    <xf numFmtId="4" fontId="13" fillId="0" borderId="4" xfId="0" applyNumberFormat="1" applyFont="1" applyBorder="1" applyAlignment="1"/>
    <xf numFmtId="4" fontId="13" fillId="0" borderId="5" xfId="0" applyNumberFormat="1" applyFont="1" applyBorder="1" applyAlignment="1"/>
    <xf numFmtId="167" fontId="19" fillId="12" borderId="64" xfId="7" applyNumberFormat="1" applyFont="1" applyFill="1" applyBorder="1" applyAlignment="1">
      <alignment vertical="center"/>
    </xf>
    <xf numFmtId="0" fontId="34" fillId="13" borderId="12" xfId="7" applyFont="1" applyFill="1" applyBorder="1" applyAlignment="1">
      <alignment horizontal="center" vertical="center" wrapText="1"/>
    </xf>
    <xf numFmtId="0" fontId="35" fillId="12" borderId="46" xfId="7" applyFont="1" applyFill="1" applyBorder="1" applyAlignment="1">
      <alignment horizontal="center"/>
    </xf>
    <xf numFmtId="0" fontId="35" fillId="12" borderId="50" xfId="7" applyFont="1" applyFill="1" applyBorder="1" applyAlignment="1">
      <alignment horizontal="center"/>
    </xf>
    <xf numFmtId="0" fontId="37" fillId="12" borderId="50" xfId="7" applyFont="1" applyFill="1" applyBorder="1"/>
    <xf numFmtId="0" fontId="37" fillId="12" borderId="51" xfId="7" applyFont="1" applyFill="1" applyBorder="1"/>
    <xf numFmtId="0" fontId="34" fillId="0" borderId="40" xfId="7" applyFont="1" applyBorder="1" applyAlignment="1">
      <alignment horizontal="center" vertical="center" wrapText="1"/>
    </xf>
    <xf numFmtId="0" fontId="34" fillId="0" borderId="43" xfId="7" applyFont="1" applyBorder="1" applyAlignment="1">
      <alignment horizontal="center" vertical="center" wrapText="1"/>
    </xf>
    <xf numFmtId="0" fontId="34" fillId="0" borderId="21" xfId="7" applyFont="1" applyBorder="1" applyAlignment="1">
      <alignment horizontal="center" vertical="center" wrapText="1"/>
    </xf>
    <xf numFmtId="0" fontId="34" fillId="0" borderId="12" xfId="7" applyFont="1" applyBorder="1" applyAlignment="1">
      <alignment horizontal="center" vertical="center" wrapText="1"/>
    </xf>
    <xf numFmtId="0" fontId="35" fillId="12" borderId="22" xfId="7" applyFont="1" applyFill="1" applyBorder="1" applyAlignment="1">
      <alignment horizontal="center" vertical="center" wrapText="1"/>
    </xf>
    <xf numFmtId="0" fontId="35" fillId="12" borderId="24" xfId="7" applyFont="1" applyFill="1" applyBorder="1" applyAlignment="1">
      <alignment horizontal="center" vertical="center" wrapText="1"/>
    </xf>
    <xf numFmtId="0" fontId="34" fillId="0" borderId="39" xfId="7" applyFont="1" applyBorder="1" applyAlignment="1">
      <alignment horizontal="center" vertical="center" wrapText="1"/>
    </xf>
    <xf numFmtId="0" fontId="34" fillId="0" borderId="42" xfId="7" applyFont="1" applyBorder="1" applyAlignment="1">
      <alignment horizontal="center" vertical="center" wrapText="1"/>
    </xf>
    <xf numFmtId="0" fontId="34" fillId="13" borderId="43" xfId="7" applyFont="1" applyFill="1" applyBorder="1" applyAlignment="1">
      <alignment horizontal="center" vertical="center" wrapText="1"/>
    </xf>
    <xf numFmtId="0" fontId="34" fillId="13" borderId="24" xfId="7" applyFont="1" applyFill="1" applyBorder="1" applyAlignment="1">
      <alignment horizontal="center" vertical="center" wrapText="1"/>
    </xf>
    <xf numFmtId="0" fontId="35" fillId="12" borderId="21" xfId="7" applyFont="1" applyFill="1" applyBorder="1" applyAlignment="1">
      <alignment horizontal="center" vertical="center" wrapText="1"/>
    </xf>
    <xf numFmtId="0" fontId="35" fillId="12" borderId="12" xfId="7" applyFont="1" applyFill="1" applyBorder="1" applyAlignment="1">
      <alignment horizontal="center" vertical="center" wrapText="1"/>
    </xf>
    <xf numFmtId="0" fontId="34" fillId="12" borderId="22" xfId="7" applyFont="1" applyFill="1" applyBorder="1" applyAlignment="1">
      <alignment horizontal="center" vertical="center" wrapText="1"/>
    </xf>
    <xf numFmtId="0" fontId="34" fillId="12" borderId="24" xfId="7" applyFont="1" applyFill="1" applyBorder="1" applyAlignment="1">
      <alignment horizontal="center" vertical="center" wrapText="1"/>
    </xf>
    <xf numFmtId="0" fontId="34" fillId="0" borderId="45" xfId="7" applyFont="1" applyBorder="1" applyAlignment="1">
      <alignment horizontal="center" vertical="center" wrapText="1"/>
    </xf>
    <xf numFmtId="0" fontId="34" fillId="0" borderId="27" xfId="7" applyFont="1" applyBorder="1" applyAlignment="1">
      <alignment horizontal="center" vertical="center" wrapText="1"/>
    </xf>
    <xf numFmtId="0" fontId="35" fillId="14" borderId="21" xfId="7" applyFont="1" applyFill="1" applyBorder="1" applyAlignment="1">
      <alignment horizontal="center" vertical="center" wrapText="1"/>
    </xf>
    <xf numFmtId="0" fontId="35" fillId="14" borderId="27" xfId="7" applyFont="1" applyFill="1" applyBorder="1" applyAlignment="1">
      <alignment horizontal="center" vertical="center" wrapText="1"/>
    </xf>
    <xf numFmtId="0" fontId="44" fillId="12" borderId="20" xfId="7" applyFont="1" applyFill="1" applyBorder="1" applyAlignment="1">
      <alignment horizontal="center" vertical="center" wrapText="1"/>
    </xf>
    <xf numFmtId="0" fontId="44" fillId="12" borderId="26" xfId="7" applyFont="1" applyFill="1" applyBorder="1" applyAlignment="1">
      <alignment horizontal="center" vertical="center" wrapText="1"/>
    </xf>
    <xf numFmtId="0" fontId="34" fillId="0" borderId="46" xfId="7" applyFont="1" applyBorder="1" applyAlignment="1">
      <alignment horizontal="center" wrapText="1"/>
    </xf>
    <xf numFmtId="0" fontId="34" fillId="0" borderId="50" xfId="7" applyFont="1" applyBorder="1" applyAlignment="1">
      <alignment horizontal="center" wrapText="1"/>
    </xf>
    <xf numFmtId="0" fontId="34" fillId="0" borderId="51" xfId="7" applyFont="1" applyBorder="1" applyAlignment="1">
      <alignment horizontal="center" wrapText="1"/>
    </xf>
    <xf numFmtId="0" fontId="35" fillId="12" borderId="27" xfId="7" applyFont="1" applyFill="1" applyBorder="1" applyAlignment="1">
      <alignment horizontal="center" vertical="center" wrapText="1"/>
    </xf>
    <xf numFmtId="0" fontId="50" fillId="15" borderId="58" xfId="8" applyFont="1" applyFill="1" applyBorder="1" applyProtection="1">
      <protection locked="0"/>
    </xf>
    <xf numFmtId="0" fontId="50" fillId="15" borderId="59" xfId="8" applyFont="1" applyFill="1" applyBorder="1" applyProtection="1">
      <protection locked="0"/>
    </xf>
    <xf numFmtId="0" fontId="50" fillId="15" borderId="60" xfId="8" applyFont="1" applyFill="1" applyBorder="1" applyProtection="1">
      <protection locked="0"/>
    </xf>
    <xf numFmtId="0" fontId="35" fillId="12" borderId="0" xfId="8" quotePrefix="1" applyFont="1" applyFill="1" applyAlignment="1">
      <alignment horizontal="center" vertical="center" wrapText="1"/>
    </xf>
    <xf numFmtId="0" fontId="1" fillId="0" borderId="12" xfId="7" applyBorder="1" applyAlignment="1">
      <alignment horizontal="center"/>
    </xf>
    <xf numFmtId="0" fontId="49" fillId="0" borderId="0" xfId="7" applyFont="1" applyAlignment="1">
      <alignment horizontal="center" wrapText="1"/>
    </xf>
    <xf numFmtId="0" fontId="50" fillId="15" borderId="58" xfId="8" applyFont="1" applyFill="1" applyBorder="1"/>
    <xf numFmtId="0" fontId="50" fillId="15" borderId="59" xfId="8" applyFont="1" applyFill="1" applyBorder="1"/>
    <xf numFmtId="0" fontId="50" fillId="15" borderId="60" xfId="8" applyFont="1" applyFill="1" applyBorder="1"/>
    <xf numFmtId="0" fontId="65" fillId="12" borderId="9" xfId="7" applyFont="1" applyFill="1" applyBorder="1" applyAlignment="1">
      <alignment horizontal="center" vertical="center"/>
    </xf>
    <xf numFmtId="0" fontId="65" fillId="12" borderId="10" xfId="7" applyFont="1" applyFill="1" applyBorder="1" applyAlignment="1">
      <alignment horizontal="center" vertical="center"/>
    </xf>
    <xf numFmtId="0" fontId="65" fillId="12" borderId="11" xfId="7" applyFont="1" applyFill="1" applyBorder="1" applyAlignment="1">
      <alignment horizontal="center" vertical="center"/>
    </xf>
    <xf numFmtId="0" fontId="8" fillId="20" borderId="0" xfId="7" applyFont="1" applyFill="1" applyAlignment="1">
      <alignment horizontal="center" vertical="center" wrapText="1"/>
    </xf>
    <xf numFmtId="0" fontId="38" fillId="18" borderId="0" xfId="7" applyFont="1" applyFill="1" applyAlignment="1">
      <alignment horizontal="center" vertical="center"/>
    </xf>
    <xf numFmtId="0" fontId="38" fillId="19" borderId="0" xfId="7" applyFont="1" applyFill="1" applyAlignment="1">
      <alignment horizontal="center" vertical="center"/>
    </xf>
    <xf numFmtId="0" fontId="38" fillId="3" borderId="0" xfId="7" applyFont="1" applyFill="1" applyAlignment="1">
      <alignment horizontal="center" vertical="center"/>
    </xf>
    <xf numFmtId="0" fontId="38" fillId="14" borderId="0" xfId="7" applyFont="1" applyFill="1" applyAlignment="1">
      <alignment horizontal="center" vertical="center"/>
    </xf>
    <xf numFmtId="0" fontId="8" fillId="2" borderId="0" xfId="7" applyFont="1" applyFill="1" applyAlignment="1">
      <alignment horizontal="center" vertical="center"/>
    </xf>
    <xf numFmtId="0" fontId="38" fillId="2" borderId="0" xfId="7" applyFont="1" applyFill="1" applyAlignment="1">
      <alignment horizontal="center" vertical="center"/>
    </xf>
    <xf numFmtId="0" fontId="8" fillId="18" borderId="0" xfId="7" applyFont="1" applyFill="1" applyAlignment="1">
      <alignment horizontal="center" vertical="center"/>
    </xf>
    <xf numFmtId="0" fontId="8" fillId="19" borderId="0" xfId="7" applyFont="1" applyFill="1" applyAlignment="1">
      <alignment horizontal="center" vertical="center"/>
    </xf>
    <xf numFmtId="0" fontId="8" fillId="3" borderId="0" xfId="7" applyFont="1" applyFill="1" applyAlignment="1">
      <alignment horizontal="center" vertical="center"/>
    </xf>
    <xf numFmtId="0" fontId="34" fillId="14" borderId="0" xfId="7" applyFont="1" applyFill="1" applyAlignment="1">
      <alignment horizontal="center" vertical="center"/>
    </xf>
    <xf numFmtId="0" fontId="8" fillId="2" borderId="32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8" fillId="0" borderId="20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32" fillId="0" borderId="19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3" fillId="0" borderId="20" xfId="0" applyFont="1" applyFill="1" applyBorder="1" applyAlignment="1">
      <alignment horizontal="left" vertical="center"/>
    </xf>
    <xf numFmtId="0" fontId="33" fillId="0" borderId="13" xfId="0" applyFont="1" applyFill="1" applyBorder="1" applyAlignment="1">
      <alignment horizontal="left" vertical="center"/>
    </xf>
    <xf numFmtId="0" fontId="0" fillId="0" borderId="26" xfId="0" applyFont="1" applyBorder="1" applyAlignment="1">
      <alignment horizontal="left" vertical="center"/>
    </xf>
    <xf numFmtId="4" fontId="7" fillId="0" borderId="5" xfId="2" applyNumberFormat="1" applyBorder="1" applyAlignment="1">
      <alignment horizontal="center" vertical="center"/>
    </xf>
    <xf numFmtId="4" fontId="7" fillId="0" borderId="8" xfId="2" applyNumberFormat="1" applyBorder="1" applyAlignment="1">
      <alignment horizontal="center" vertical="center"/>
    </xf>
    <xf numFmtId="4" fontId="7" fillId="0" borderId="2" xfId="2" applyNumberFormat="1" applyBorder="1" applyAlignment="1">
      <alignment horizontal="center" vertical="center"/>
    </xf>
    <xf numFmtId="4" fontId="7" fillId="0" borderId="0" xfId="2" applyNumberFormat="1" applyBorder="1" applyAlignment="1">
      <alignment horizontal="center" vertical="center"/>
    </xf>
    <xf numFmtId="4" fontId="7" fillId="0" borderId="3" xfId="2" applyNumberFormat="1" applyBorder="1" applyAlignment="1">
      <alignment horizontal="center" vertical="center"/>
    </xf>
    <xf numFmtId="4" fontId="7" fillId="0" borderId="2" xfId="2" applyNumberFormat="1" applyBorder="1" applyAlignment="1">
      <alignment horizontal="right" vertical="center"/>
    </xf>
    <xf numFmtId="4" fontId="7" fillId="0" borderId="0" xfId="2" applyNumberFormat="1" applyBorder="1" applyAlignment="1">
      <alignment horizontal="right" vertical="center"/>
    </xf>
    <xf numFmtId="4" fontId="7" fillId="0" borderId="7" xfId="2" applyNumberFormat="1" applyBorder="1" applyAlignment="1">
      <alignment horizontal="right" vertical="center"/>
    </xf>
    <xf numFmtId="4" fontId="7" fillId="0" borderId="7" xfId="2" applyNumberFormat="1" applyBorder="1" applyAlignment="1">
      <alignment horizontal="center" vertical="center"/>
    </xf>
    <xf numFmtId="0" fontId="6" fillId="3" borderId="1" xfId="2" applyFont="1" applyFill="1" applyBorder="1" applyAlignment="1">
      <alignment horizontal="center"/>
    </xf>
    <xf numFmtId="0" fontId="7" fillId="3" borderId="2" xfId="2" applyFill="1" applyBorder="1"/>
    <xf numFmtId="0" fontId="7" fillId="3" borderId="3" xfId="2" applyFill="1" applyBorder="1"/>
    <xf numFmtId="0" fontId="4" fillId="0" borderId="0" xfId="1"/>
    <xf numFmtId="0" fontId="5" fillId="5" borderId="4" xfId="1" applyFont="1" applyFill="1" applyBorder="1" applyAlignment="1">
      <alignment horizontal="center"/>
    </xf>
    <xf numFmtId="0" fontId="4" fillId="5" borderId="0" xfId="1" applyFill="1" applyBorder="1"/>
    <xf numFmtId="0" fontId="4" fillId="5" borderId="5" xfId="1" applyFill="1" applyBorder="1"/>
    <xf numFmtId="0" fontId="5" fillId="5" borderId="0" xfId="1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6" fillId="0" borderId="10" xfId="2" applyFont="1" applyBorder="1" applyAlignment="1">
      <alignment horizontal="center"/>
    </xf>
    <xf numFmtId="0" fontId="0" fillId="0" borderId="10" xfId="0" applyBorder="1" applyAlignment="1"/>
    <xf numFmtId="0" fontId="0" fillId="0" borderId="11" xfId="0" applyBorder="1" applyAlignment="1"/>
    <xf numFmtId="0" fontId="8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5" fillId="8" borderId="1" xfId="1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5" fillId="4" borderId="1" xfId="2" applyFont="1" applyFill="1" applyBorder="1" applyAlignment="1">
      <alignment horizontal="center"/>
    </xf>
    <xf numFmtId="4" fontId="4" fillId="0" borderId="0" xfId="1" applyNumberFormat="1" applyBorder="1" applyAlignment="1">
      <alignment horizontal="center" vertical="center"/>
    </xf>
    <xf numFmtId="4" fontId="4" fillId="0" borderId="5" xfId="1" applyNumberFormat="1" applyBorder="1" applyAlignment="1">
      <alignment horizontal="center" vertical="center"/>
    </xf>
    <xf numFmtId="4" fontId="7" fillId="0" borderId="3" xfId="2" applyNumberFormat="1" applyFill="1" applyBorder="1" applyAlignment="1">
      <alignment horizontal="center" vertical="center"/>
    </xf>
    <xf numFmtId="4" fontId="7" fillId="0" borderId="5" xfId="2" applyNumberFormat="1" applyFill="1" applyBorder="1" applyAlignment="1">
      <alignment horizontal="center" vertical="center"/>
    </xf>
    <xf numFmtId="4" fontId="7" fillId="0" borderId="2" xfId="2" applyNumberFormat="1" applyFill="1" applyBorder="1" applyAlignment="1">
      <alignment horizontal="center" vertical="center"/>
    </xf>
    <xf numFmtId="4" fontId="7" fillId="0" borderId="0" xfId="2" applyNumberFormat="1" applyFill="1" applyBorder="1" applyAlignment="1">
      <alignment horizontal="center" vertical="center"/>
    </xf>
    <xf numFmtId="4" fontId="7" fillId="0" borderId="0" xfId="2" applyNumberFormat="1" applyFill="1" applyBorder="1" applyAlignment="1">
      <alignment horizontal="center" vertical="center" wrapText="1"/>
    </xf>
    <xf numFmtId="4" fontId="7" fillId="0" borderId="7" xfId="2" applyNumberFormat="1" applyFill="1" applyBorder="1" applyAlignment="1">
      <alignment horizontal="center" vertical="center" wrapText="1"/>
    </xf>
    <xf numFmtId="4" fontId="7" fillId="0" borderId="5" xfId="2" applyNumberFormat="1" applyFill="1" applyBorder="1" applyAlignment="1">
      <alignment horizontal="center" vertical="center" wrapText="1"/>
    </xf>
    <xf numFmtId="4" fontId="7" fillId="0" borderId="8" xfId="2" applyNumberFormat="1" applyFill="1" applyBorder="1" applyAlignment="1">
      <alignment horizontal="center" vertical="center" wrapText="1"/>
    </xf>
    <xf numFmtId="4" fontId="4" fillId="0" borderId="2" xfId="1" applyNumberFormat="1" applyBorder="1" applyAlignment="1">
      <alignment horizontal="center" vertical="center"/>
    </xf>
    <xf numFmtId="0" fontId="0" fillId="0" borderId="0" xfId="0" applyBorder="1" applyAlignment="1"/>
    <xf numFmtId="4" fontId="4" fillId="0" borderId="3" xfId="1" applyNumberFormat="1" applyBorder="1" applyAlignment="1">
      <alignment horizontal="center" vertical="center"/>
    </xf>
    <xf numFmtId="0" fontId="0" fillId="0" borderId="5" xfId="0" applyBorder="1" applyAlignment="1"/>
    <xf numFmtId="4" fontId="4" fillId="0" borderId="1" xfId="1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3" borderId="1" xfId="2" applyFont="1" applyFill="1" applyBorder="1" applyAlignment="1">
      <alignment horizontal="center"/>
    </xf>
    <xf numFmtId="0" fontId="4" fillId="8" borderId="2" xfId="1" applyFill="1" applyBorder="1"/>
    <xf numFmtId="0" fontId="4" fillId="8" borderId="3" xfId="1" applyFill="1" applyBorder="1"/>
    <xf numFmtId="0" fontId="5" fillId="8" borderId="2" xfId="1" applyFont="1" applyFill="1" applyBorder="1" applyAlignment="1">
      <alignment horizontal="center"/>
    </xf>
    <xf numFmtId="0" fontId="5" fillId="0" borderId="9" xfId="1" applyFont="1" applyBorder="1" applyAlignment="1">
      <alignment horizontal="center" wrapText="1"/>
    </xf>
    <xf numFmtId="0" fontId="5" fillId="0" borderId="10" xfId="1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6" fillId="4" borderId="1" xfId="2" applyFont="1" applyFill="1" applyBorder="1" applyAlignment="1">
      <alignment horizontal="center"/>
    </xf>
    <xf numFmtId="0" fontId="7" fillId="4" borderId="2" xfId="2" applyFill="1" applyBorder="1"/>
    <xf numFmtId="0" fontId="7" fillId="4" borderId="3" xfId="2" applyFill="1" applyBorder="1"/>
    <xf numFmtId="0" fontId="6" fillId="4" borderId="2" xfId="2" applyFont="1" applyFill="1" applyBorder="1" applyAlignment="1">
      <alignment horizontal="center"/>
    </xf>
    <xf numFmtId="4" fontId="7" fillId="0" borderId="4" xfId="2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2" fontId="0" fillId="0" borderId="5" xfId="0" applyNumberFormat="1" applyFill="1" applyBorder="1" applyAlignment="1">
      <alignment horizontal="center" vertical="center"/>
    </xf>
    <xf numFmtId="4" fontId="4" fillId="0" borderId="0" xfId="1" applyNumberFormat="1" applyBorder="1" applyAlignment="1">
      <alignment horizontal="right"/>
    </xf>
    <xf numFmtId="4" fontId="4" fillId="0" borderId="5" xfId="1" applyNumberFormat="1" applyBorder="1" applyAlignment="1">
      <alignment horizontal="right"/>
    </xf>
    <xf numFmtId="4" fontId="4" fillId="0" borderId="8" xfId="1" applyNumberFormat="1" applyBorder="1" applyAlignment="1">
      <alignment horizontal="center" vertical="center"/>
    </xf>
    <xf numFmtId="4" fontId="4" fillId="0" borderId="4" xfId="1" applyNumberFormat="1" applyBorder="1" applyAlignment="1">
      <alignment horizontal="center" vertical="center"/>
    </xf>
    <xf numFmtId="4" fontId="4" fillId="0" borderId="6" xfId="1" applyNumberFormat="1" applyBorder="1" applyAlignment="1">
      <alignment horizontal="center" vertical="center"/>
    </xf>
    <xf numFmtId="0" fontId="0" fillId="0" borderId="6" xfId="0" applyBorder="1" applyAlignment="1"/>
    <xf numFmtId="0" fontId="0" fillId="0" borderId="8" xfId="0" applyBorder="1" applyAlignment="1"/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5" borderId="1" xfId="1" applyFont="1" applyFill="1" applyBorder="1" applyAlignment="1">
      <alignment horizontal="center"/>
    </xf>
    <xf numFmtId="0" fontId="4" fillId="5" borderId="2" xfId="1" applyFill="1" applyBorder="1"/>
    <xf numFmtId="0" fontId="4" fillId="5" borderId="3" xfId="1" applyFill="1" applyBorder="1"/>
    <xf numFmtId="0" fontId="5" fillId="5" borderId="2" xfId="1" applyFont="1" applyFill="1" applyBorder="1" applyAlignment="1">
      <alignment horizontal="center"/>
    </xf>
    <xf numFmtId="2" fontId="0" fillId="0" borderId="0" xfId="0" applyNumberFormat="1" applyAlignment="1"/>
    <xf numFmtId="2" fontId="0" fillId="0" borderId="5" xfId="0" applyNumberFormat="1" applyBorder="1" applyAlignment="1"/>
    <xf numFmtId="4" fontId="12" fillId="0" borderId="3" xfId="1" applyNumberFormat="1" applyFont="1" applyBorder="1" applyAlignment="1">
      <alignment horizontal="center" vertical="center"/>
    </xf>
    <xf numFmtId="4" fontId="12" fillId="0" borderId="5" xfId="1" applyNumberFormat="1" applyFont="1" applyBorder="1" applyAlignment="1">
      <alignment horizontal="center" vertical="center"/>
    </xf>
    <xf numFmtId="4" fontId="12" fillId="0" borderId="8" xfId="1" applyNumberFormat="1" applyFont="1" applyBorder="1" applyAlignment="1">
      <alignment horizontal="center" vertical="center"/>
    </xf>
    <xf numFmtId="4" fontId="12" fillId="0" borderId="2" xfId="1" applyNumberFormat="1" applyFont="1" applyBorder="1" applyAlignment="1">
      <alignment horizontal="center" vertical="center"/>
    </xf>
    <xf numFmtId="4" fontId="12" fillId="0" borderId="0" xfId="1" applyNumberFormat="1" applyFont="1" applyBorder="1" applyAlignment="1">
      <alignment horizontal="center" vertical="center"/>
    </xf>
    <xf numFmtId="4" fontId="12" fillId="0" borderId="7" xfId="1" applyNumberFormat="1" applyFont="1" applyBorder="1" applyAlignment="1">
      <alignment horizontal="center" vertical="center"/>
    </xf>
    <xf numFmtId="4" fontId="12" fillId="0" borderId="2" xfId="2" applyNumberFormat="1" applyFont="1" applyBorder="1" applyAlignment="1">
      <alignment horizontal="center" vertical="center"/>
    </xf>
    <xf numFmtId="4" fontId="12" fillId="0" borderId="0" xfId="2" applyNumberFormat="1" applyFont="1" applyBorder="1" applyAlignment="1">
      <alignment horizontal="center" vertical="center"/>
    </xf>
    <xf numFmtId="4" fontId="12" fillId="0" borderId="7" xfId="2" applyNumberFormat="1" applyFont="1" applyBorder="1" applyAlignment="1">
      <alignment horizontal="center" vertical="center"/>
    </xf>
    <xf numFmtId="4" fontId="12" fillId="0" borderId="3" xfId="2" applyNumberFormat="1" applyFont="1" applyBorder="1" applyAlignment="1">
      <alignment horizontal="center" vertical="center"/>
    </xf>
    <xf numFmtId="4" fontId="12" fillId="0" borderId="5" xfId="2" applyNumberFormat="1" applyFont="1" applyBorder="1" applyAlignment="1">
      <alignment horizontal="center" vertical="center"/>
    </xf>
    <xf numFmtId="4" fontId="12" fillId="0" borderId="8" xfId="2" applyNumberFormat="1" applyFont="1" applyBorder="1" applyAlignment="1">
      <alignment horizontal="center" vertical="center"/>
    </xf>
    <xf numFmtId="4" fontId="4" fillId="0" borderId="2" xfId="1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4" fontId="4" fillId="0" borderId="3" xfId="1" applyNumberFormat="1" applyFill="1" applyBorder="1" applyAlignment="1">
      <alignment horizontal="center" vertical="center"/>
    </xf>
    <xf numFmtId="4" fontId="4" fillId="0" borderId="1" xfId="1" applyNumberFormat="1" applyFill="1" applyBorder="1" applyAlignment="1">
      <alignment horizontal="center" vertical="center"/>
    </xf>
    <xf numFmtId="0" fontId="5" fillId="0" borderId="1" xfId="1" applyFont="1" applyBorder="1" applyAlignment="1">
      <alignment horizontal="center" wrapText="1"/>
    </xf>
    <xf numFmtId="0" fontId="5" fillId="0" borderId="2" xfId="1" applyFont="1" applyBorder="1" applyAlignment="1">
      <alignment horizontal="center" wrapText="1"/>
    </xf>
    <xf numFmtId="0" fontId="5" fillId="0" borderId="3" xfId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4" fillId="4" borderId="2" xfId="1" applyFill="1" applyBorder="1"/>
    <xf numFmtId="0" fontId="4" fillId="4" borderId="3" xfId="1" applyFill="1" applyBorder="1"/>
    <xf numFmtId="0" fontId="5" fillId="4" borderId="2" xfId="1" applyFont="1" applyFill="1" applyBorder="1" applyAlignment="1">
      <alignment horizontal="center"/>
    </xf>
    <xf numFmtId="0" fontId="5" fillId="4" borderId="3" xfId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4" fontId="12" fillId="0" borderId="1" xfId="1" applyNumberFormat="1" applyFont="1" applyBorder="1" applyAlignment="1">
      <alignment horizontal="center" vertical="center"/>
    </xf>
    <xf numFmtId="4" fontId="12" fillId="0" borderId="4" xfId="1" applyNumberFormat="1" applyFont="1" applyBorder="1" applyAlignment="1">
      <alignment horizontal="center" vertical="center"/>
    </xf>
    <xf numFmtId="4" fontId="12" fillId="0" borderId="6" xfId="1" applyNumberFormat="1" applyFont="1" applyBorder="1" applyAlignment="1">
      <alignment horizontal="center" vertical="center"/>
    </xf>
    <xf numFmtId="4" fontId="4" fillId="0" borderId="7" xfId="1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4" fillId="0" borderId="0" xfId="1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" fontId="4" fillId="0" borderId="5" xfId="1" applyNumberFormat="1" applyFill="1" applyBorder="1" applyAlignment="1">
      <alignment horizontal="center" vertical="center"/>
    </xf>
    <xf numFmtId="4" fontId="4" fillId="4" borderId="4" xfId="1" applyNumberForma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4" fontId="4" fillId="4" borderId="5" xfId="1" applyNumberForma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4" fontId="4" fillId="0" borderId="4" xfId="1" applyNumberFormat="1" applyFill="1" applyBorder="1" applyAlignment="1">
      <alignment horizontal="center" vertical="center"/>
    </xf>
    <xf numFmtId="4" fontId="4" fillId="0" borderId="1" xfId="1" applyNumberFormat="1" applyFill="1" applyBorder="1" applyAlignment="1">
      <alignment horizontal="right"/>
    </xf>
    <xf numFmtId="0" fontId="0" fillId="0" borderId="4" xfId="0" applyBorder="1" applyAlignment="1">
      <alignment horizontal="right"/>
    </xf>
    <xf numFmtId="4" fontId="4" fillId="0" borderId="3" xfId="1" applyNumberFormat="1" applyFill="1" applyBorder="1" applyAlignment="1">
      <alignment horizontal="right"/>
    </xf>
    <xf numFmtId="0" fontId="0" fillId="0" borderId="5" xfId="0" applyBorder="1" applyAlignment="1">
      <alignment horizontal="right"/>
    </xf>
    <xf numFmtId="4" fontId="4" fillId="0" borderId="6" xfId="1" applyNumberFormat="1" applyFill="1" applyBorder="1" applyAlignment="1">
      <alignment horizontal="center" vertical="center"/>
    </xf>
    <xf numFmtId="4" fontId="4" fillId="0" borderId="8" xfId="1" applyNumberFormat="1" applyFill="1" applyBorder="1" applyAlignment="1">
      <alignment horizontal="center" vertical="center"/>
    </xf>
    <xf numFmtId="0" fontId="0" fillId="0" borderId="2" xfId="0" applyBorder="1" applyAlignment="1"/>
    <xf numFmtId="0" fontId="0" fillId="0" borderId="3" xfId="0" applyBorder="1" applyAlignment="1"/>
    <xf numFmtId="0" fontId="6" fillId="3" borderId="4" xfId="2" applyFont="1" applyFill="1" applyBorder="1" applyAlignment="1">
      <alignment horizontal="center"/>
    </xf>
    <xf numFmtId="0" fontId="7" fillId="3" borderId="0" xfId="2" applyFill="1" applyBorder="1"/>
    <xf numFmtId="0" fontId="7" fillId="3" borderId="5" xfId="2" applyFill="1" applyBorder="1"/>
    <xf numFmtId="0" fontId="0" fillId="0" borderId="1" xfId="0" applyFill="1" applyBorder="1" applyAlignment="1">
      <alignment horizontal="center" vertical="center"/>
    </xf>
    <xf numFmtId="4" fontId="0" fillId="0" borderId="3" xfId="0" applyNumberFormat="1" applyFill="1" applyBorder="1" applyAlignment="1">
      <alignment horizontal="center" vertical="center"/>
    </xf>
    <xf numFmtId="4" fontId="0" fillId="0" borderId="5" xfId="0" applyNumberFormat="1" applyFill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0" fontId="7" fillId="0" borderId="2" xfId="2" applyNumberFormat="1" applyBorder="1" applyAlignment="1">
      <alignment horizontal="center" vertical="center"/>
    </xf>
    <xf numFmtId="0" fontId="7" fillId="0" borderId="3" xfId="2" applyNumberFormat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8" xfId="0" applyBorder="1" applyAlignment="1">
      <alignment vertical="center"/>
    </xf>
    <xf numFmtId="0" fontId="7" fillId="0" borderId="2" xfId="2" applyNumberFormat="1" applyFill="1" applyBorder="1" applyAlignment="1">
      <alignment vertical="center"/>
    </xf>
    <xf numFmtId="0" fontId="0" fillId="0" borderId="0" xfId="0" applyFill="1" applyAlignment="1">
      <alignment vertical="center"/>
    </xf>
    <xf numFmtId="0" fontId="7" fillId="0" borderId="3" xfId="2" applyNumberFormat="1" applyFill="1" applyBorder="1" applyAlignment="1">
      <alignment vertical="center"/>
    </xf>
    <xf numFmtId="0" fontId="7" fillId="0" borderId="0" xfId="2" applyNumberForma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7" fillId="0" borderId="5" xfId="2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7" fillId="0" borderId="5" xfId="2" applyNumberFormat="1" applyBorder="1" applyAlignment="1">
      <alignment horizontal="center" vertical="center"/>
    </xf>
    <xf numFmtId="0" fontId="7" fillId="0" borderId="2" xfId="2" applyNumberFormat="1" applyBorder="1" applyAlignment="1">
      <alignment vertical="center"/>
    </xf>
    <xf numFmtId="0" fontId="7" fillId="0" borderId="3" xfId="2" applyNumberFormat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1" fontId="4" fillId="0" borderId="3" xfId="1" applyNumberFormat="1" applyBorder="1" applyAlignment="1">
      <alignment horizontal="center" vertical="center" wrapText="1"/>
    </xf>
    <xf numFmtId="1" fontId="4" fillId="0" borderId="5" xfId="1" applyNumberFormat="1" applyBorder="1" applyAlignment="1">
      <alignment horizontal="center" vertical="center" wrapText="1"/>
    </xf>
    <xf numFmtId="1" fontId="4" fillId="0" borderId="8" xfId="1" applyNumberFormat="1" applyBorder="1" applyAlignment="1">
      <alignment horizontal="center" vertical="center" wrapText="1"/>
    </xf>
    <xf numFmtId="1" fontId="4" fillId="0" borderId="1" xfId="1" applyNumberFormat="1" applyBorder="1" applyAlignment="1">
      <alignment horizontal="center" vertical="center" wrapText="1"/>
    </xf>
    <xf numFmtId="1" fontId="4" fillId="0" borderId="4" xfId="1" applyNumberFormat="1" applyBorder="1" applyAlignment="1">
      <alignment horizontal="center" vertical="center" wrapText="1"/>
    </xf>
    <xf numFmtId="1" fontId="4" fillId="0" borderId="6" xfId="1" applyNumberFormat="1" applyBorder="1" applyAlignment="1">
      <alignment horizontal="center" vertical="center" wrapText="1"/>
    </xf>
    <xf numFmtId="1" fontId="4" fillId="0" borderId="1" xfId="1" applyNumberFormat="1" applyBorder="1" applyAlignment="1">
      <alignment horizontal="center" vertical="center"/>
    </xf>
    <xf numFmtId="1" fontId="4" fillId="0" borderId="4" xfId="1" applyNumberFormat="1" applyBorder="1" applyAlignment="1">
      <alignment horizontal="center" vertical="center"/>
    </xf>
    <xf numFmtId="1" fontId="4" fillId="0" borderId="6" xfId="1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0" borderId="0" xfId="2" applyNumberFormat="1" applyBorder="1" applyAlignment="1">
      <alignment horizontal="center" vertical="center"/>
    </xf>
    <xf numFmtId="4" fontId="0" fillId="0" borderId="1" xfId="0" applyNumberFormat="1" applyFill="1" applyBorder="1" applyAlignment="1">
      <alignment vertical="center"/>
    </xf>
    <xf numFmtId="4" fontId="0" fillId="0" borderId="4" xfId="0" applyNumberFormat="1" applyFill="1" applyBorder="1" applyAlignment="1">
      <alignment vertical="center"/>
    </xf>
    <xf numFmtId="4" fontId="0" fillId="0" borderId="3" xfId="0" applyNumberFormat="1" applyFill="1" applyBorder="1" applyAlignment="1">
      <alignment vertical="center"/>
    </xf>
    <xf numFmtId="4" fontId="0" fillId="0" borderId="5" xfId="0" applyNumberFormat="1" applyFill="1" applyBorder="1" applyAlignment="1">
      <alignment vertical="center"/>
    </xf>
    <xf numFmtId="4" fontId="0" fillId="0" borderId="6" xfId="0" applyNumberFormat="1" applyFill="1" applyBorder="1" applyAlignment="1">
      <alignment vertical="center"/>
    </xf>
    <xf numFmtId="4" fontId="0" fillId="0" borderId="8" xfId="0" applyNumberFormat="1" applyFill="1" applyBorder="1" applyAlignment="1">
      <alignment vertical="center"/>
    </xf>
    <xf numFmtId="4" fontId="0" fillId="0" borderId="8" xfId="0" applyNumberFormat="1" applyFill="1" applyBorder="1" applyAlignment="1">
      <alignment horizontal="center" vertical="center"/>
    </xf>
    <xf numFmtId="4" fontId="7" fillId="0" borderId="5" xfId="2" applyNumberFormat="1" applyFill="1" applyBorder="1" applyAlignment="1">
      <alignment vertical="center"/>
    </xf>
    <xf numFmtId="4" fontId="0" fillId="0" borderId="5" xfId="0" applyNumberFormat="1" applyBorder="1" applyAlignment="1">
      <alignment vertical="center"/>
    </xf>
    <xf numFmtId="4" fontId="0" fillId="0" borderId="8" xfId="0" applyNumberFormat="1" applyBorder="1" applyAlignment="1">
      <alignment vertical="center"/>
    </xf>
    <xf numFmtId="0" fontId="7" fillId="0" borderId="1" xfId="2" applyNumberFormat="1" applyBorder="1" applyAlignment="1">
      <alignment horizontal="center" vertical="center"/>
    </xf>
    <xf numFmtId="0" fontId="7" fillId="0" borderId="4" xfId="2" applyNumberFormat="1" applyBorder="1" applyAlignment="1">
      <alignment horizontal="center" vertical="center"/>
    </xf>
    <xf numFmtId="0" fontId="7" fillId="0" borderId="6" xfId="2" applyNumberFormat="1" applyBorder="1" applyAlignment="1">
      <alignment horizontal="center" vertical="center"/>
    </xf>
    <xf numFmtId="0" fontId="7" fillId="0" borderId="7" xfId="2" applyNumberFormat="1" applyBorder="1" applyAlignment="1">
      <alignment horizontal="center" vertical="center"/>
    </xf>
    <xf numFmtId="2" fontId="7" fillId="0" borderId="3" xfId="2" applyNumberFormat="1" applyBorder="1" applyAlignment="1">
      <alignment horizontal="center" vertical="center"/>
    </xf>
    <xf numFmtId="2" fontId="7" fillId="0" borderId="5" xfId="2" applyNumberFormat="1" applyBorder="1" applyAlignment="1">
      <alignment horizontal="center" vertical="center"/>
    </xf>
    <xf numFmtId="2" fontId="7" fillId="0" borderId="8" xfId="2" applyNumberFormat="1" applyBorder="1" applyAlignment="1">
      <alignment horizontal="center" vertical="center"/>
    </xf>
    <xf numFmtId="4" fontId="7" fillId="0" borderId="3" xfId="2" applyNumberFormat="1" applyBorder="1" applyAlignment="1">
      <alignment vertical="center"/>
    </xf>
    <xf numFmtId="4" fontId="7" fillId="0" borderId="5" xfId="2" applyNumberFormat="1" applyBorder="1" applyAlignment="1">
      <alignment vertical="center"/>
    </xf>
    <xf numFmtId="0" fontId="7" fillId="0" borderId="8" xfId="2" applyNumberFormat="1" applyBorder="1" applyAlignment="1">
      <alignment horizontal="center" vertical="center"/>
    </xf>
    <xf numFmtId="4" fontId="7" fillId="0" borderId="2" xfId="2" applyNumberFormat="1" applyBorder="1" applyAlignment="1">
      <alignment vertical="center"/>
    </xf>
    <xf numFmtId="4" fontId="0" fillId="0" borderId="0" xfId="0" applyNumberFormat="1" applyAlignment="1">
      <alignment vertical="center"/>
    </xf>
    <xf numFmtId="4" fontId="7" fillId="0" borderId="0" xfId="2" applyNumberFormat="1" applyFill="1" applyBorder="1" applyAlignment="1">
      <alignment vertical="center"/>
    </xf>
    <xf numFmtId="4" fontId="0" fillId="0" borderId="0" xfId="0" applyNumberFormat="1" applyFill="1" applyAlignment="1">
      <alignment vertical="center"/>
    </xf>
    <xf numFmtId="4" fontId="0" fillId="0" borderId="7" xfId="0" applyNumberFormat="1" applyFill="1" applyBorder="1" applyAlignment="1">
      <alignment vertical="center"/>
    </xf>
    <xf numFmtId="164" fontId="4" fillId="0" borderId="0" xfId="1" applyNumberFormat="1" applyBorder="1" applyAlignment="1">
      <alignment horizontal="center" vertical="center"/>
    </xf>
    <xf numFmtId="164" fontId="4" fillId="0" borderId="7" xfId="1" applyNumberFormat="1" applyBorder="1" applyAlignment="1">
      <alignment horizontal="center" vertical="center"/>
    </xf>
    <xf numFmtId="164" fontId="4" fillId="0" borderId="5" xfId="1" applyNumberFormat="1" applyBorder="1" applyAlignment="1">
      <alignment horizontal="center" vertical="center"/>
    </xf>
    <xf numFmtId="164" fontId="4" fillId="0" borderId="8" xfId="1" applyNumberFormat="1" applyBorder="1" applyAlignment="1">
      <alignment horizontal="center" vertical="center"/>
    </xf>
    <xf numFmtId="164" fontId="4" fillId="0" borderId="0" xfId="1" applyNumberFormat="1" applyBorder="1" applyAlignment="1">
      <alignment horizontal="center" vertical="center" wrapText="1"/>
    </xf>
    <xf numFmtId="164" fontId="4" fillId="0" borderId="7" xfId="1" applyNumberFormat="1" applyBorder="1" applyAlignment="1">
      <alignment horizontal="center" vertical="center" wrapText="1"/>
    </xf>
    <xf numFmtId="164" fontId="4" fillId="0" borderId="2" xfId="1" applyNumberFormat="1" applyBorder="1" applyAlignment="1">
      <alignment horizontal="center" vertical="center"/>
    </xf>
    <xf numFmtId="164" fontId="4" fillId="0" borderId="3" xfId="1" applyNumberFormat="1" applyBorder="1" applyAlignment="1">
      <alignment horizontal="center" vertical="center"/>
    </xf>
    <xf numFmtId="1" fontId="4" fillId="0" borderId="3" xfId="1" applyNumberFormat="1" applyBorder="1" applyAlignment="1">
      <alignment horizontal="center" vertical="center"/>
    </xf>
    <xf numFmtId="1" fontId="4" fillId="0" borderId="5" xfId="1" applyNumberFormat="1" applyBorder="1" applyAlignment="1">
      <alignment horizontal="center" vertical="center"/>
    </xf>
    <xf numFmtId="1" fontId="4" fillId="0" borderId="8" xfId="1" applyNumberFormat="1" applyBorder="1" applyAlignment="1">
      <alignment horizontal="center" vertical="center"/>
    </xf>
    <xf numFmtId="2" fontId="4" fillId="0" borderId="1" xfId="1" applyNumberFormat="1" applyBorder="1" applyAlignment="1">
      <alignment horizontal="center" vertical="center"/>
    </xf>
    <xf numFmtId="2" fontId="4" fillId="0" borderId="3" xfId="1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0" fontId="7" fillId="0" borderId="2" xfId="2" applyNumberFormat="1" applyFill="1" applyBorder="1" applyAlignment="1">
      <alignment horizontal="center" vertical="center"/>
    </xf>
    <xf numFmtId="0" fontId="7" fillId="0" borderId="3" xfId="2" applyNumberFormat="1" applyFill="1" applyBorder="1" applyAlignment="1">
      <alignment horizontal="center" vertical="center"/>
    </xf>
    <xf numFmtId="1" fontId="4" fillId="0" borderId="4" xfId="1" applyNumberFormat="1" applyFill="1" applyBorder="1" applyAlignment="1">
      <alignment horizontal="center" vertical="center"/>
    </xf>
    <xf numFmtId="2" fontId="12" fillId="0" borderId="2" xfId="1" applyNumberFormat="1" applyFont="1" applyBorder="1" applyAlignment="1">
      <alignment horizontal="center" vertical="center"/>
    </xf>
    <xf numFmtId="2" fontId="12" fillId="0" borderId="0" xfId="1" applyNumberFormat="1" applyFont="1" applyBorder="1" applyAlignment="1">
      <alignment horizontal="center" vertical="center"/>
    </xf>
    <xf numFmtId="1" fontId="12" fillId="0" borderId="2" xfId="1" applyNumberFormat="1" applyFont="1" applyBorder="1" applyAlignment="1">
      <alignment horizontal="center" vertical="center"/>
    </xf>
    <xf numFmtId="1" fontId="12" fillId="0" borderId="0" xfId="1" applyNumberFormat="1" applyFont="1" applyBorder="1" applyAlignment="1">
      <alignment horizontal="center" vertical="center"/>
    </xf>
    <xf numFmtId="4" fontId="12" fillId="0" borderId="3" xfId="1" applyNumberFormat="1" applyFont="1" applyFill="1" applyBorder="1" applyAlignment="1">
      <alignment horizontal="center" vertical="center"/>
    </xf>
    <xf numFmtId="4" fontId="12" fillId="0" borderId="5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0" xfId="1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4" fontId="0" fillId="0" borderId="7" xfId="0" applyNumberFormat="1" applyFill="1" applyBorder="1" applyAlignment="1">
      <alignment horizontal="center" vertical="center"/>
    </xf>
    <xf numFmtId="2" fontId="4" fillId="0" borderId="4" xfId="1" applyNumberFormat="1" applyFill="1" applyBorder="1" applyAlignment="1">
      <alignment horizontal="center" vertical="center"/>
    </xf>
    <xf numFmtId="2" fontId="4" fillId="0" borderId="5" xfId="1" applyNumberFormat="1" applyFill="1" applyBorder="1" applyAlignment="1">
      <alignment horizontal="center" vertical="center"/>
    </xf>
    <xf numFmtId="1" fontId="4" fillId="0" borderId="2" xfId="1" applyNumberFormat="1" applyFill="1" applyBorder="1" applyAlignment="1">
      <alignment horizontal="center" vertical="center"/>
    </xf>
    <xf numFmtId="3" fontId="12" fillId="0" borderId="0" xfId="1" applyNumberFormat="1" applyFont="1" applyBorder="1" applyAlignment="1">
      <alignment horizontal="center" vertical="center"/>
    </xf>
    <xf numFmtId="3" fontId="12" fillId="0" borderId="7" xfId="1" applyNumberFormat="1" applyFont="1" applyBorder="1" applyAlignment="1">
      <alignment horizontal="center" vertical="center"/>
    </xf>
    <xf numFmtId="164" fontId="4" fillId="0" borderId="4" xfId="1" applyNumberFormat="1" applyFill="1" applyBorder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1" fontId="4" fillId="0" borderId="1" xfId="1" applyNumberFormat="1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3" fontId="4" fillId="0" borderId="0" xfId="1" applyNumberFormat="1" applyBorder="1" applyAlignment="1">
      <alignment horizontal="center" vertical="center"/>
    </xf>
    <xf numFmtId="3" fontId="4" fillId="0" borderId="7" xfId="1" applyNumberFormat="1" applyBorder="1" applyAlignment="1">
      <alignment horizontal="center" vertical="center"/>
    </xf>
    <xf numFmtId="3" fontId="4" fillId="0" borderId="2" xfId="1" applyNumberFormat="1" applyFill="1" applyBorder="1" applyAlignment="1">
      <alignment horizontal="center" vertical="center"/>
    </xf>
    <xf numFmtId="3" fontId="4" fillId="0" borderId="0" xfId="1" applyNumberFormat="1" applyFill="1" applyBorder="1" applyAlignment="1">
      <alignment horizontal="center" vertical="center"/>
    </xf>
    <xf numFmtId="2" fontId="4" fillId="0" borderId="2" xfId="1" applyNumberFormat="1" applyBorder="1" applyAlignment="1">
      <alignment horizontal="center" vertical="center"/>
    </xf>
    <xf numFmtId="2" fontId="4" fillId="0" borderId="0" xfId="1" applyNumberFormat="1" applyBorder="1" applyAlignment="1">
      <alignment horizontal="center" vertical="center"/>
    </xf>
    <xf numFmtId="1" fontId="4" fillId="0" borderId="0" xfId="1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2" fontId="0" fillId="0" borderId="8" xfId="0" applyNumberFormat="1" applyFill="1" applyBorder="1" applyAlignment="1">
      <alignment horizontal="center" vertical="center"/>
    </xf>
    <xf numFmtId="3" fontId="4" fillId="0" borderId="7" xfId="1" applyNumberFormat="1" applyFill="1" applyBorder="1" applyAlignment="1">
      <alignment horizontal="center" vertical="center"/>
    </xf>
    <xf numFmtId="1" fontId="4" fillId="0" borderId="1" xfId="1" applyNumberFormat="1" applyFill="1" applyBorder="1" applyAlignment="1">
      <alignment horizontal="center" vertical="center"/>
    </xf>
    <xf numFmtId="1" fontId="0" fillId="0" borderId="4" xfId="0" applyNumberFormat="1" applyFill="1" applyBorder="1" applyAlignment="1">
      <alignment horizontal="center" vertical="center"/>
    </xf>
    <xf numFmtId="2" fontId="4" fillId="0" borderId="3" xfId="1" applyNumberFormat="1" applyFill="1" applyBorder="1" applyAlignment="1">
      <alignment horizontal="center" vertical="center"/>
    </xf>
    <xf numFmtId="1" fontId="0" fillId="0" borderId="4" xfId="0" applyNumberFormat="1" applyFill="1" applyBorder="1" applyAlignment="1"/>
    <xf numFmtId="1" fontId="0" fillId="0" borderId="6" xfId="0" applyNumberFormat="1" applyFill="1" applyBorder="1" applyAlignment="1"/>
    <xf numFmtId="0" fontId="30" fillId="0" borderId="1" xfId="1" applyFont="1" applyBorder="1" applyAlignment="1">
      <alignment horizontal="center" wrapText="1"/>
    </xf>
    <xf numFmtId="0" fontId="30" fillId="0" borderId="2" xfId="1" applyFont="1" applyBorder="1" applyAlignment="1">
      <alignment horizontal="center" wrapText="1"/>
    </xf>
    <xf numFmtId="0" fontId="30" fillId="0" borderId="3" xfId="1" applyFont="1" applyBorder="1" applyAlignment="1">
      <alignment horizontal="center" wrapText="1"/>
    </xf>
    <xf numFmtId="0" fontId="30" fillId="0" borderId="2" xfId="1" applyFont="1" applyBorder="1" applyAlignment="1">
      <alignment horizontal="center"/>
    </xf>
    <xf numFmtId="0" fontId="31" fillId="0" borderId="2" xfId="1" applyFont="1" applyBorder="1"/>
    <xf numFmtId="0" fontId="30" fillId="0" borderId="1" xfId="1" applyFont="1" applyBorder="1" applyAlignment="1">
      <alignment horizontal="center"/>
    </xf>
    <xf numFmtId="0" fontId="31" fillId="0" borderId="3" xfId="1" applyFont="1" applyBorder="1"/>
    <xf numFmtId="0" fontId="30" fillId="0" borderId="3" xfId="1" applyFont="1" applyBorder="1" applyAlignment="1">
      <alignment horizontal="center"/>
    </xf>
    <xf numFmtId="3" fontId="12" fillId="0" borderId="4" xfId="1" applyNumberFormat="1" applyFont="1" applyFill="1" applyBorder="1" applyAlignment="1">
      <alignment horizontal="center" vertical="center"/>
    </xf>
    <xf numFmtId="3" fontId="23" fillId="0" borderId="4" xfId="0" applyNumberFormat="1" applyFont="1" applyBorder="1" applyAlignment="1">
      <alignment horizontal="center" vertical="center"/>
    </xf>
    <xf numFmtId="3" fontId="23" fillId="0" borderId="6" xfId="0" applyNumberFormat="1" applyFont="1" applyBorder="1" applyAlignment="1">
      <alignment horizontal="center" vertical="center"/>
    </xf>
    <xf numFmtId="4" fontId="23" fillId="0" borderId="5" xfId="0" applyNumberFormat="1" applyFont="1" applyBorder="1" applyAlignment="1">
      <alignment horizontal="center" vertical="center"/>
    </xf>
    <xf numFmtId="4" fontId="23" fillId="0" borderId="8" xfId="0" applyNumberFormat="1" applyFont="1" applyBorder="1" applyAlignment="1">
      <alignment horizontal="center" vertical="center"/>
    </xf>
    <xf numFmtId="3" fontId="12" fillId="0" borderId="1" xfId="1" applyNumberFormat="1" applyFont="1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center" vertical="center"/>
    </xf>
    <xf numFmtId="164" fontId="12" fillId="0" borderId="2" xfId="1" applyNumberFormat="1" applyFont="1" applyFill="1" applyBorder="1" applyAlignment="1">
      <alignment horizontal="center" vertical="center"/>
    </xf>
    <xf numFmtId="164" fontId="12" fillId="0" borderId="0" xfId="1" applyNumberFormat="1" applyFont="1" applyFill="1" applyBorder="1" applyAlignment="1">
      <alignment horizontal="center" vertical="center"/>
    </xf>
    <xf numFmtId="164" fontId="12" fillId="0" borderId="7" xfId="1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2" fontId="4" fillId="0" borderId="5" xfId="1" applyNumberFormat="1" applyBorder="1" applyAlignment="1">
      <alignment horizontal="center" vertical="center"/>
    </xf>
    <xf numFmtId="1" fontId="4" fillId="4" borderId="0" xfId="1" applyNumberForma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2" fontId="4" fillId="4" borderId="5" xfId="1" applyNumberFormat="1" applyFill="1" applyBorder="1" applyAlignment="1">
      <alignment horizontal="center" vertical="center"/>
    </xf>
    <xf numFmtId="2" fontId="12" fillId="0" borderId="2" xfId="1" applyNumberFormat="1" applyFont="1" applyFill="1" applyBorder="1" applyAlignment="1">
      <alignment horizontal="center" vertical="center"/>
    </xf>
    <xf numFmtId="2" fontId="12" fillId="0" borderId="3" xfId="1" applyNumberFormat="1" applyFont="1" applyFill="1" applyBorder="1" applyAlignment="1">
      <alignment horizontal="center" vertical="center"/>
    </xf>
    <xf numFmtId="2" fontId="0" fillId="0" borderId="5" xfId="0" applyNumberFormat="1" applyFill="1" applyBorder="1" applyAlignment="1"/>
    <xf numFmtId="2" fontId="0" fillId="0" borderId="8" xfId="0" applyNumberFormat="1" applyFill="1" applyBorder="1" applyAlignment="1"/>
    <xf numFmtId="0" fontId="0" fillId="0" borderId="4" xfId="0" applyBorder="1" applyAlignment="1"/>
    <xf numFmtId="4" fontId="0" fillId="0" borderId="5" xfId="0" applyNumberFormat="1" applyBorder="1" applyAlignment="1"/>
    <xf numFmtId="4" fontId="0" fillId="0" borderId="8" xfId="0" applyNumberFormat="1" applyBorder="1" applyAlignment="1"/>
    <xf numFmtId="4" fontId="12" fillId="0" borderId="2" xfId="1" applyNumberFormat="1" applyFont="1" applyFill="1" applyBorder="1" applyAlignment="1">
      <alignment horizontal="center" vertical="center"/>
    </xf>
    <xf numFmtId="4" fontId="12" fillId="0" borderId="0" xfId="1" applyNumberFormat="1" applyFont="1" applyFill="1" applyBorder="1" applyAlignment="1">
      <alignment horizontal="center" vertical="center"/>
    </xf>
    <xf numFmtId="1" fontId="12" fillId="0" borderId="0" xfId="1" applyNumberFormat="1" applyFont="1" applyFill="1" applyBorder="1" applyAlignment="1">
      <alignment horizontal="center" vertical="center"/>
    </xf>
    <xf numFmtId="1" fontId="23" fillId="0" borderId="0" xfId="0" applyNumberFormat="1" applyFont="1" applyFill="1" applyAlignment="1">
      <alignment horizontal="center" vertical="center"/>
    </xf>
    <xf numFmtId="1" fontId="23" fillId="0" borderId="7" xfId="0" applyNumberFormat="1" applyFont="1" applyFill="1" applyBorder="1" applyAlignment="1">
      <alignment horizontal="center" vertical="center"/>
    </xf>
    <xf numFmtId="2" fontId="12" fillId="0" borderId="5" xfId="1" applyNumberFormat="1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3" fontId="12" fillId="0" borderId="0" xfId="1" applyNumberFormat="1" applyFont="1" applyFill="1" applyBorder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23" fillId="0" borderId="7" xfId="0" applyNumberFormat="1" applyFont="1" applyFill="1" applyBorder="1" applyAlignment="1">
      <alignment horizontal="right"/>
    </xf>
    <xf numFmtId="4" fontId="12" fillId="0" borderId="5" xfId="1" applyNumberFormat="1" applyFont="1" applyFill="1" applyBorder="1" applyAlignment="1">
      <alignment horizontal="right"/>
    </xf>
    <xf numFmtId="4" fontId="23" fillId="0" borderId="5" xfId="0" applyNumberFormat="1" applyFont="1" applyFill="1" applyBorder="1" applyAlignment="1">
      <alignment horizontal="right"/>
    </xf>
    <xf numFmtId="4" fontId="23" fillId="0" borderId="8" xfId="0" applyNumberFormat="1" applyFont="1" applyFill="1" applyBorder="1" applyAlignment="1">
      <alignment horizontal="right"/>
    </xf>
    <xf numFmtId="164" fontId="12" fillId="0" borderId="4" xfId="1" applyNumberFormat="1" applyFont="1" applyFill="1" applyBorder="1" applyAlignment="1">
      <alignment horizontal="center" vertical="center"/>
    </xf>
    <xf numFmtId="164" fontId="0" fillId="0" borderId="4" xfId="0" applyNumberFormat="1" applyFill="1" applyBorder="1" applyAlignment="1"/>
    <xf numFmtId="164" fontId="0" fillId="0" borderId="6" xfId="0" applyNumberFormat="1" applyFill="1" applyBorder="1" applyAlignment="1"/>
    <xf numFmtId="4" fontId="0" fillId="0" borderId="5" xfId="0" applyNumberFormat="1" applyFill="1" applyBorder="1" applyAlignment="1"/>
    <xf numFmtId="4" fontId="0" fillId="0" borderId="8" xfId="0" applyNumberFormat="1" applyFill="1" applyBorder="1" applyAlignment="1"/>
    <xf numFmtId="1" fontId="0" fillId="0" borderId="0" xfId="0" applyNumberFormat="1" applyFill="1" applyAlignment="1">
      <alignment horizontal="center" vertical="center"/>
    </xf>
    <xf numFmtId="1" fontId="4" fillId="0" borderId="0" xfId="1" applyNumberFormat="1" applyBorder="1" applyAlignment="1">
      <alignment horizontal="center" vertical="center"/>
    </xf>
    <xf numFmtId="164" fontId="12" fillId="0" borderId="1" xfId="1" applyNumberFormat="1" applyFont="1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3" fontId="7" fillId="0" borderId="2" xfId="2" applyNumberFormat="1" applyBorder="1" applyAlignment="1">
      <alignment horizontal="center" vertical="center"/>
    </xf>
    <xf numFmtId="3" fontId="0" fillId="0" borderId="0" xfId="0" applyNumberFormat="1" applyAlignment="1"/>
    <xf numFmtId="3" fontId="7" fillId="0" borderId="0" xfId="2" applyNumberFormat="1" applyFill="1" applyBorder="1" applyAlignment="1">
      <alignment horizontal="right"/>
    </xf>
    <xf numFmtId="3" fontId="0" fillId="0" borderId="7" xfId="0" applyNumberFormat="1" applyBorder="1" applyAlignment="1">
      <alignment horizontal="right"/>
    </xf>
    <xf numFmtId="4" fontId="7" fillId="0" borderId="5" xfId="2" applyNumberFormat="1" applyFill="1" applyBorder="1" applyAlignment="1">
      <alignment horizontal="right"/>
    </xf>
    <xf numFmtId="4" fontId="0" fillId="0" borderId="8" xfId="0" applyNumberFormat="1" applyBorder="1" applyAlignment="1">
      <alignment horizontal="right"/>
    </xf>
    <xf numFmtId="3" fontId="0" fillId="0" borderId="0" xfId="0" applyNumberFormat="1" applyAlignment="1">
      <alignment horizontal="center" vertical="center"/>
    </xf>
    <xf numFmtId="3" fontId="7" fillId="0" borderId="0" xfId="2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1" fontId="4" fillId="0" borderId="3" xfId="1" applyNumberFormat="1" applyFill="1" applyBorder="1" applyAlignment="1">
      <alignment horizontal="center" vertical="center"/>
    </xf>
    <xf numFmtId="1" fontId="4" fillId="0" borderId="5" xfId="1" applyNumberFormat="1" applyFill="1" applyBorder="1" applyAlignment="1">
      <alignment horizontal="center" vertical="center"/>
    </xf>
    <xf numFmtId="1" fontId="4" fillId="0" borderId="2" xfId="1" applyNumberFormat="1" applyBorder="1" applyAlignment="1">
      <alignment horizontal="center" vertical="center"/>
    </xf>
    <xf numFmtId="0" fontId="4" fillId="0" borderId="3" xfId="1" applyNumberFormat="1" applyBorder="1" applyAlignment="1">
      <alignment horizontal="center" vertical="center"/>
    </xf>
    <xf numFmtId="0" fontId="4" fillId="0" borderId="5" xfId="1" applyNumberFormat="1" applyBorder="1" applyAlignment="1">
      <alignment horizontal="center" vertical="center"/>
    </xf>
    <xf numFmtId="0" fontId="4" fillId="0" borderId="2" xfId="1" applyNumberFormat="1" applyBorder="1" applyAlignment="1">
      <alignment horizontal="center" vertical="center"/>
    </xf>
    <xf numFmtId="0" fontId="4" fillId="0" borderId="0" xfId="1" applyNumberFormat="1" applyBorder="1" applyAlignment="1">
      <alignment horizontal="center" vertical="center"/>
    </xf>
    <xf numFmtId="1" fontId="4" fillId="0" borderId="7" xfId="1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/>
    <xf numFmtId="4" fontId="0" fillId="0" borderId="7" xfId="0" applyNumberFormat="1" applyBorder="1" applyAlignment="1"/>
    <xf numFmtId="0" fontId="5" fillId="0" borderId="6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0" fillId="0" borderId="7" xfId="0" applyBorder="1" applyAlignment="1"/>
    <xf numFmtId="0" fontId="5" fillId="9" borderId="1" xfId="1" applyFont="1" applyFill="1" applyBorder="1" applyAlignment="1">
      <alignment horizontal="center"/>
    </xf>
    <xf numFmtId="0" fontId="4" fillId="9" borderId="3" xfId="1" applyFill="1" applyBorder="1"/>
    <xf numFmtId="0" fontId="5" fillId="9" borderId="2" xfId="1" applyFont="1" applyFill="1" applyBorder="1" applyAlignment="1">
      <alignment horizontal="center"/>
    </xf>
    <xf numFmtId="0" fontId="4" fillId="9" borderId="2" xfId="1" applyFill="1" applyBorder="1"/>
    <xf numFmtId="1" fontId="7" fillId="0" borderId="4" xfId="2" applyNumberForma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3" fontId="7" fillId="0" borderId="4" xfId="2" applyNumberFormat="1" applyFill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8" xfId="0" applyBorder="1" applyAlignment="1">
      <alignment horizontal="right"/>
    </xf>
    <xf numFmtId="1" fontId="7" fillId="0" borderId="4" xfId="2" applyNumberFormat="1" applyFill="1" applyBorder="1" applyAlignment="1">
      <alignment horizontal="center" vertical="center"/>
    </xf>
    <xf numFmtId="1" fontId="7" fillId="0" borderId="1" xfId="2" applyNumberFormat="1" applyBorder="1" applyAlignment="1">
      <alignment horizontal="center" vertical="center"/>
    </xf>
    <xf numFmtId="3" fontId="4" fillId="0" borderId="1" xfId="1" applyNumberFormat="1" applyBorder="1" applyAlignment="1">
      <alignment horizontal="center" vertical="center"/>
    </xf>
    <xf numFmtId="2" fontId="7" fillId="0" borderId="0" xfId="2" applyNumberFormat="1" applyFill="1" applyBorder="1" applyAlignment="1">
      <alignment horizontal="center" vertical="center"/>
    </xf>
    <xf numFmtId="3" fontId="7" fillId="0" borderId="1" xfId="2" applyNumberFormat="1" applyBorder="1" applyAlignment="1">
      <alignment horizontal="center" vertical="center"/>
    </xf>
    <xf numFmtId="2" fontId="7" fillId="0" borderId="0" xfId="2" applyNumberForma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7" xfId="0" applyBorder="1" applyAlignment="1">
      <alignment horizontal="right"/>
    </xf>
    <xf numFmtId="164" fontId="7" fillId="0" borderId="0" xfId="2" applyNumberFormat="1" applyBorder="1" applyAlignment="1">
      <alignment horizontal="center" vertical="center"/>
    </xf>
    <xf numFmtId="164" fontId="7" fillId="0" borderId="7" xfId="2" applyNumberFormat="1" applyBorder="1" applyAlignment="1">
      <alignment horizontal="center" vertical="center"/>
    </xf>
    <xf numFmtId="164" fontId="7" fillId="0" borderId="2" xfId="2" applyNumberFormat="1" applyBorder="1" applyAlignment="1">
      <alignment horizontal="center" vertical="center"/>
    </xf>
    <xf numFmtId="2" fontId="7" fillId="0" borderId="0" xfId="2" applyNumberFormat="1" applyBorder="1" applyAlignment="1">
      <alignment horizontal="center" vertical="center"/>
    </xf>
    <xf numFmtId="2" fontId="7" fillId="0" borderId="7" xfId="2" applyNumberFormat="1" applyBorder="1" applyAlignment="1">
      <alignment horizontal="center" vertical="center"/>
    </xf>
    <xf numFmtId="2" fontId="7" fillId="0" borderId="2" xfId="2" applyNumberFormat="1" applyBorder="1" applyAlignment="1">
      <alignment horizontal="center" vertical="center"/>
    </xf>
    <xf numFmtId="1" fontId="7" fillId="0" borderId="2" xfId="2" applyNumberFormat="1" applyBorder="1" applyAlignment="1">
      <alignment horizontal="center" vertical="center"/>
    </xf>
    <xf numFmtId="1" fontId="7" fillId="0" borderId="0" xfId="2" applyNumberFormat="1" applyBorder="1" applyAlignment="1">
      <alignment horizontal="center" vertical="center"/>
    </xf>
    <xf numFmtId="1" fontId="7" fillId="0" borderId="7" xfId="2" applyNumberFormat="1" applyBorder="1" applyAlignment="1">
      <alignment horizontal="center" vertical="center"/>
    </xf>
    <xf numFmtId="4" fontId="0" fillId="0" borderId="5" xfId="0" applyNumberFormat="1" applyBorder="1" applyAlignment="1">
      <alignment horizontal="right"/>
    </xf>
    <xf numFmtId="0" fontId="6" fillId="2" borderId="1" xfId="2" applyFont="1" applyFill="1" applyBorder="1" applyAlignment="1">
      <alignment horizontal="center"/>
    </xf>
    <xf numFmtId="0" fontId="7" fillId="2" borderId="2" xfId="2" applyFill="1" applyBorder="1"/>
    <xf numFmtId="0" fontId="7" fillId="2" borderId="3" xfId="2" applyFill="1" applyBorder="1"/>
    <xf numFmtId="0" fontId="6" fillId="0" borderId="1" xfId="2" applyFont="1" applyBorder="1" applyAlignment="1">
      <alignment horizontal="center"/>
    </xf>
    <xf numFmtId="0" fontId="7" fillId="0" borderId="2" xfId="2" applyBorder="1"/>
    <xf numFmtId="0" fontId="7" fillId="0" borderId="3" xfId="2" applyBorder="1"/>
    <xf numFmtId="0" fontId="5" fillId="2" borderId="1" xfId="2" applyFont="1" applyFill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0" fillId="0" borderId="0" xfId="0" applyAlignment="1"/>
    <xf numFmtId="0" fontId="4" fillId="0" borderId="7" xfId="1" applyNumberFormat="1" applyBorder="1" applyAlignment="1">
      <alignment horizontal="center" vertical="center"/>
    </xf>
    <xf numFmtId="0" fontId="4" fillId="0" borderId="8" xfId="1" applyNumberFormat="1" applyBorder="1" applyAlignment="1">
      <alignment horizontal="center" vertical="center"/>
    </xf>
    <xf numFmtId="0" fontId="4" fillId="0" borderId="5" xfId="1" applyNumberFormat="1" applyBorder="1" applyAlignment="1">
      <alignment horizontal="center"/>
    </xf>
    <xf numFmtId="0" fontId="4" fillId="0" borderId="8" xfId="1" applyNumberFormat="1" applyBorder="1" applyAlignment="1">
      <alignment horizontal="center"/>
    </xf>
    <xf numFmtId="0" fontId="4" fillId="0" borderId="0" xfId="1" applyNumberFormat="1" applyBorder="1" applyAlignment="1">
      <alignment horizontal="center"/>
    </xf>
    <xf numFmtId="0" fontId="4" fillId="0" borderId="7" xfId="1" applyNumberFormat="1" applyBorder="1" applyAlignment="1">
      <alignment horizontal="center"/>
    </xf>
    <xf numFmtId="3" fontId="4" fillId="0" borderId="4" xfId="1" applyNumberFormat="1" applyBorder="1" applyAlignment="1">
      <alignment horizontal="center" vertical="center"/>
    </xf>
    <xf numFmtId="164" fontId="4" fillId="0" borderId="0" xfId="1" applyNumberFormat="1" applyFill="1" applyBorder="1" applyAlignment="1">
      <alignment horizontal="center" vertical="center"/>
    </xf>
    <xf numFmtId="3" fontId="4" fillId="0" borderId="1" xfId="1" applyNumberForma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/>
    </xf>
    <xf numFmtId="4" fontId="7" fillId="0" borderId="8" xfId="2" applyNumberFormat="1" applyFill="1" applyBorder="1" applyAlignment="1">
      <alignment horizontal="center" vertical="center"/>
    </xf>
    <xf numFmtId="2" fontId="7" fillId="0" borderId="7" xfId="2" applyNumberFormat="1" applyFill="1" applyBorder="1" applyAlignment="1">
      <alignment horizontal="center" vertical="center"/>
    </xf>
    <xf numFmtId="2" fontId="4" fillId="0" borderId="2" xfId="2" applyNumberFormat="1" applyFont="1" applyFill="1" applyBorder="1" applyAlignment="1">
      <alignment horizontal="center" vertical="center"/>
    </xf>
    <xf numFmtId="1" fontId="7" fillId="0" borderId="0" xfId="2" applyNumberFormat="1" applyFill="1" applyBorder="1" applyAlignment="1">
      <alignment horizontal="right"/>
    </xf>
    <xf numFmtId="1" fontId="7" fillId="0" borderId="0" xfId="2" applyNumberFormat="1" applyFill="1" applyBorder="1" applyAlignment="1">
      <alignment horizontal="center" vertical="center"/>
    </xf>
    <xf numFmtId="1" fontId="7" fillId="0" borderId="1" xfId="2" applyNumberFormat="1" applyFill="1" applyBorder="1" applyAlignment="1">
      <alignment horizontal="center" vertical="center"/>
    </xf>
    <xf numFmtId="2" fontId="4" fillId="0" borderId="2" xfId="2" applyNumberFormat="1" applyFont="1" applyBorder="1" applyAlignment="1">
      <alignment horizontal="center" vertical="center"/>
    </xf>
    <xf numFmtId="2" fontId="7" fillId="0" borderId="0" xfId="2" applyNumberFormat="1" applyFill="1" applyBorder="1" applyAlignment="1">
      <alignment horizontal="center"/>
    </xf>
    <xf numFmtId="2" fontId="7" fillId="0" borderId="7" xfId="2" applyNumberFormat="1" applyFill="1" applyBorder="1" applyAlignment="1">
      <alignment horizontal="center"/>
    </xf>
    <xf numFmtId="4" fontId="7" fillId="0" borderId="5" xfId="2" applyNumberFormat="1" applyFill="1" applyBorder="1" applyAlignment="1">
      <alignment horizontal="center"/>
    </xf>
    <xf numFmtId="4" fontId="7" fillId="0" borderId="8" xfId="2" applyNumberFormat="1" applyFill="1" applyBorder="1" applyAlignment="1">
      <alignment horizontal="center"/>
    </xf>
    <xf numFmtId="0" fontId="7" fillId="0" borderId="0" xfId="2" applyNumberFormat="1" applyFill="1" applyBorder="1" applyAlignment="1">
      <alignment horizontal="center" vertical="center"/>
    </xf>
    <xf numFmtId="0" fontId="7" fillId="0" borderId="5" xfId="2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" fontId="7" fillId="0" borderId="3" xfId="2" applyNumberFormat="1" applyBorder="1" applyAlignment="1">
      <alignment horizontal="center" vertical="center"/>
    </xf>
    <xf numFmtId="1" fontId="7" fillId="0" borderId="5" xfId="2" applyNumberFormat="1" applyBorder="1" applyAlignment="1">
      <alignment horizontal="center" vertical="center"/>
    </xf>
    <xf numFmtId="1" fontId="7" fillId="0" borderId="8" xfId="2" applyNumberFormat="1" applyBorder="1" applyAlignment="1">
      <alignment horizontal="center" vertical="center"/>
    </xf>
    <xf numFmtId="0" fontId="5" fillId="8" borderId="9" xfId="1" applyFont="1" applyFill="1" applyBorder="1" applyAlignment="1">
      <alignment horizontal="center" wrapText="1"/>
    </xf>
    <xf numFmtId="0" fontId="5" fillId="8" borderId="10" xfId="1" applyFont="1" applyFill="1" applyBorder="1" applyAlignment="1">
      <alignment horizontal="center" wrapText="1"/>
    </xf>
    <xf numFmtId="0" fontId="5" fillId="5" borderId="9" xfId="1" applyFont="1" applyFill="1" applyBorder="1" applyAlignment="1">
      <alignment horizontal="center"/>
    </xf>
    <xf numFmtId="0" fontId="5" fillId="5" borderId="10" xfId="1" applyFont="1" applyFill="1" applyBorder="1" applyAlignment="1">
      <alignment horizontal="center"/>
    </xf>
    <xf numFmtId="0" fontId="4" fillId="0" borderId="0" xfId="1" applyNumberFormat="1" applyBorder="1" applyAlignment="1">
      <alignment horizontal="center" vertical="center" wrapText="1"/>
    </xf>
    <xf numFmtId="0" fontId="4" fillId="0" borderId="7" xfId="1" applyNumberFormat="1" applyBorder="1" applyAlignment="1">
      <alignment horizontal="center" vertical="center" wrapText="1"/>
    </xf>
    <xf numFmtId="2" fontId="4" fillId="0" borderId="4" xfId="1" applyNumberFormat="1" applyFill="1" applyBorder="1" applyAlignment="1">
      <alignment horizontal="right"/>
    </xf>
    <xf numFmtId="2" fontId="4" fillId="0" borderId="5" xfId="1" applyNumberFormat="1" applyFill="1" applyBorder="1" applyAlignment="1">
      <alignment horizontal="right"/>
    </xf>
    <xf numFmtId="0" fontId="5" fillId="3" borderId="9" xfId="2" applyFont="1" applyFill="1" applyBorder="1" applyAlignment="1">
      <alignment horizontal="center"/>
    </xf>
    <xf numFmtId="0" fontId="6" fillId="3" borderId="10" xfId="2" applyFont="1" applyFill="1" applyBorder="1" applyAlignment="1">
      <alignment horizontal="center"/>
    </xf>
    <xf numFmtId="4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10" fillId="0" borderId="2" xfId="3" applyNumberFormat="1" applyFill="1" applyBorder="1" applyAlignment="1">
      <alignment horizontal="center" vertical="center"/>
    </xf>
    <xf numFmtId="2" fontId="10" fillId="0" borderId="0" xfId="3" applyNumberFormat="1" applyFill="1" applyBorder="1" applyAlignment="1">
      <alignment horizontal="center" vertical="center"/>
    </xf>
    <xf numFmtId="4" fontId="10" fillId="0" borderId="2" xfId="3" applyNumberFormat="1" applyFill="1" applyBorder="1" applyAlignment="1">
      <alignment horizontal="center" vertical="center"/>
    </xf>
    <xf numFmtId="4" fontId="10" fillId="0" borderId="0" xfId="3" applyNumberFormat="1" applyFill="1" applyBorder="1" applyAlignment="1">
      <alignment horizontal="center" vertical="center"/>
    </xf>
    <xf numFmtId="4" fontId="10" fillId="0" borderId="0" xfId="3" applyNumberFormat="1" applyBorder="1" applyAlignment="1">
      <alignment horizontal="center" vertical="center"/>
    </xf>
    <xf numFmtId="4" fontId="10" fillId="0" borderId="7" xfId="3" applyNumberFormat="1" applyBorder="1" applyAlignment="1">
      <alignment horizontal="center" vertical="center"/>
    </xf>
    <xf numFmtId="0" fontId="11" fillId="3" borderId="12" xfId="3" applyFont="1" applyFill="1" applyBorder="1" applyAlignment="1">
      <alignment horizontal="center"/>
    </xf>
    <xf numFmtId="0" fontId="10" fillId="3" borderId="12" xfId="3" applyFill="1" applyBorder="1"/>
    <xf numFmtId="1" fontId="10" fillId="0" borderId="1" xfId="3" applyNumberFormat="1" applyBorder="1" applyAlignment="1">
      <alignment horizontal="center" vertical="center"/>
    </xf>
    <xf numFmtId="4" fontId="10" fillId="0" borderId="3" xfId="3" applyNumberFormat="1" applyBorder="1" applyAlignment="1">
      <alignment horizontal="center" vertical="center"/>
    </xf>
    <xf numFmtId="1" fontId="10" fillId="0" borderId="3" xfId="3" applyNumberFormat="1" applyBorder="1" applyAlignment="1">
      <alignment horizontal="center" vertical="center"/>
    </xf>
    <xf numFmtId="1" fontId="10" fillId="0" borderId="5" xfId="3" applyNumberFormat="1" applyBorder="1" applyAlignment="1">
      <alignment horizontal="center" vertical="center"/>
    </xf>
    <xf numFmtId="0" fontId="10" fillId="0" borderId="0" xfId="3" applyNumberFormat="1" applyBorder="1" applyAlignment="1">
      <alignment horizontal="center" vertical="center"/>
    </xf>
    <xf numFmtId="1" fontId="10" fillId="0" borderId="0" xfId="3" applyNumberFormat="1" applyBorder="1" applyAlignment="1">
      <alignment horizontal="center" vertical="center"/>
    </xf>
    <xf numFmtId="1" fontId="10" fillId="0" borderId="7" xfId="3" applyNumberFormat="1" applyBorder="1" applyAlignment="1">
      <alignment horizontal="center" vertical="center"/>
    </xf>
    <xf numFmtId="1" fontId="10" fillId="0" borderId="8" xfId="3" applyNumberFormat="1" applyBorder="1" applyAlignment="1">
      <alignment horizontal="center" vertical="center"/>
    </xf>
    <xf numFmtId="0" fontId="10" fillId="0" borderId="2" xfId="3" applyNumberFormat="1" applyBorder="1" applyAlignment="1">
      <alignment horizontal="center" vertical="center"/>
    </xf>
    <xf numFmtId="2" fontId="10" fillId="0" borderId="0" xfId="3" applyNumberFormat="1" applyBorder="1" applyAlignment="1">
      <alignment horizontal="center" vertical="center"/>
    </xf>
    <xf numFmtId="1" fontId="10" fillId="0" borderId="4" xfId="3" applyNumberFormat="1" applyBorder="1" applyAlignment="1">
      <alignment horizontal="center" vertical="center"/>
    </xf>
    <xf numFmtId="1" fontId="10" fillId="0" borderId="6" xfId="3" applyNumberFormat="1" applyBorder="1" applyAlignment="1">
      <alignment horizontal="center" vertical="center"/>
    </xf>
    <xf numFmtId="0" fontId="4" fillId="0" borderId="0" xfId="1" applyAlignment="1">
      <alignment horizontal="center" vertical="center"/>
    </xf>
    <xf numFmtId="0" fontId="11" fillId="5" borderId="12" xfId="3" applyFont="1" applyFill="1" applyBorder="1" applyAlignment="1">
      <alignment horizontal="center"/>
    </xf>
    <xf numFmtId="0" fontId="10" fillId="5" borderId="12" xfId="3" applyFill="1" applyBorder="1"/>
    <xf numFmtId="0" fontId="11" fillId="8" borderId="12" xfId="3" applyFont="1" applyFill="1" applyBorder="1" applyAlignment="1">
      <alignment horizontal="center"/>
    </xf>
    <xf numFmtId="0" fontId="10" fillId="8" borderId="12" xfId="3" applyFill="1" applyBorder="1"/>
    <xf numFmtId="0" fontId="11" fillId="0" borderId="9" xfId="3" applyFont="1" applyBorder="1" applyAlignment="1">
      <alignment horizontal="center"/>
    </xf>
    <xf numFmtId="0" fontId="11" fillId="0" borderId="10" xfId="3" applyFont="1" applyBorder="1" applyAlignment="1">
      <alignment horizontal="center"/>
    </xf>
    <xf numFmtId="0" fontId="5" fillId="5" borderId="9" xfId="3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5" fillId="8" borderId="9" xfId="3" applyFont="1" applyFill="1" applyBorder="1" applyAlignment="1">
      <alignment horizontal="center"/>
    </xf>
    <xf numFmtId="0" fontId="10" fillId="3" borderId="9" xfId="3" applyFill="1" applyBorder="1"/>
    <xf numFmtId="0" fontId="10" fillId="0" borderId="1" xfId="3" applyNumberFormat="1" applyBorder="1" applyAlignment="1">
      <alignment horizontal="center" vertical="center"/>
    </xf>
    <xf numFmtId="2" fontId="10" fillId="0" borderId="4" xfId="3" applyNumberFormat="1" applyBorder="1" applyAlignment="1">
      <alignment horizontal="center" vertical="center"/>
    </xf>
    <xf numFmtId="2" fontId="10" fillId="0" borderId="6" xfId="3" applyNumberFormat="1" applyBorder="1" applyAlignment="1">
      <alignment horizontal="center" vertical="center"/>
    </xf>
    <xf numFmtId="2" fontId="10" fillId="0" borderId="7" xfId="3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2" fontId="10" fillId="0" borderId="5" xfId="3" applyNumberForma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11" fillId="3" borderId="9" xfId="3" applyFont="1" applyFill="1" applyBorder="1" applyAlignment="1">
      <alignment horizontal="center"/>
    </xf>
    <xf numFmtId="0" fontId="11" fillId="3" borderId="10" xfId="3" applyFont="1" applyFill="1" applyBorder="1" applyAlignment="1">
      <alignment horizontal="center"/>
    </xf>
    <xf numFmtId="0" fontId="0" fillId="3" borderId="10" xfId="0" applyFill="1" applyBorder="1" applyAlignment="1"/>
    <xf numFmtId="0" fontId="0" fillId="3" borderId="11" xfId="0" applyFill="1" applyBorder="1" applyAlignment="1"/>
    <xf numFmtId="0" fontId="81" fillId="0" borderId="0" xfId="0" applyFont="1" applyAlignment="1">
      <alignment horizontal="center" vertical="center"/>
    </xf>
    <xf numFmtId="0" fontId="82" fillId="0" borderId="12" xfId="3" applyFont="1" applyBorder="1" applyAlignment="1">
      <alignment horizontal="center"/>
    </xf>
    <xf numFmtId="0" fontId="84" fillId="0" borderId="12" xfId="3" applyFont="1" applyBorder="1"/>
    <xf numFmtId="3" fontId="10" fillId="0" borderId="3" xfId="3" applyNumberFormat="1" applyBorder="1" applyAlignment="1">
      <alignment horizontal="center" vertical="center"/>
    </xf>
    <xf numFmtId="3" fontId="10" fillId="0" borderId="5" xfId="3" applyNumberFormat="1" applyBorder="1" applyAlignment="1">
      <alignment horizontal="center" vertical="center"/>
    </xf>
    <xf numFmtId="3" fontId="10" fillId="0" borderId="8" xfId="3" applyNumberFormat="1" applyBorder="1" applyAlignment="1">
      <alignment horizontal="center" vertical="center"/>
    </xf>
    <xf numFmtId="3" fontId="10" fillId="0" borderId="1" xfId="3" applyNumberFormat="1" applyBorder="1" applyAlignment="1">
      <alignment horizontal="center" vertical="center"/>
    </xf>
    <xf numFmtId="3" fontId="10" fillId="0" borderId="4" xfId="3" applyNumberFormat="1" applyBorder="1" applyAlignment="1">
      <alignment horizontal="center" vertical="center"/>
    </xf>
    <xf numFmtId="3" fontId="10" fillId="0" borderId="6" xfId="3" applyNumberFormat="1" applyBorder="1" applyAlignment="1">
      <alignment horizontal="center" vertical="center"/>
    </xf>
    <xf numFmtId="3" fontId="10" fillId="0" borderId="1" xfId="3" applyNumberFormat="1" applyFill="1" applyBorder="1" applyAlignment="1">
      <alignment horizontal="center" vertical="center"/>
    </xf>
    <xf numFmtId="4" fontId="10" fillId="0" borderId="3" xfId="3" applyNumberFormat="1" applyFill="1" applyBorder="1" applyAlignment="1">
      <alignment horizontal="center" vertical="center"/>
    </xf>
    <xf numFmtId="0" fontId="82" fillId="0" borderId="9" xfId="3" applyFont="1" applyBorder="1" applyAlignment="1">
      <alignment horizontal="center"/>
    </xf>
    <xf numFmtId="0" fontId="82" fillId="0" borderId="10" xfId="3" applyFont="1" applyBorder="1" applyAlignment="1">
      <alignment horizontal="center"/>
    </xf>
    <xf numFmtId="0" fontId="83" fillId="0" borderId="10" xfId="0" applyFont="1" applyBorder="1" applyAlignment="1">
      <alignment horizontal="center"/>
    </xf>
    <xf numFmtId="0" fontId="83" fillId="0" borderId="11" xfId="0" applyFont="1" applyBorder="1" applyAlignment="1">
      <alignment horizontal="center"/>
    </xf>
    <xf numFmtId="0" fontId="82" fillId="5" borderId="9" xfId="3" applyFont="1" applyFill="1" applyBorder="1" applyAlignment="1">
      <alignment horizontal="center"/>
    </xf>
    <xf numFmtId="0" fontId="85" fillId="0" borderId="11" xfId="0" applyFont="1" applyBorder="1" applyAlignment="1">
      <alignment horizontal="center"/>
    </xf>
    <xf numFmtId="0" fontId="8" fillId="8" borderId="9" xfId="0" applyFont="1" applyFill="1" applyBorder="1" applyAlignment="1">
      <alignment horizontal="center"/>
    </xf>
    <xf numFmtId="0" fontId="82" fillId="5" borderId="12" xfId="3" applyFont="1" applyFill="1" applyBorder="1" applyAlignment="1">
      <alignment horizontal="center"/>
    </xf>
    <xf numFmtId="0" fontId="84" fillId="5" borderId="12" xfId="3" applyFont="1" applyFill="1" applyBorder="1"/>
    <xf numFmtId="0" fontId="81" fillId="0" borderId="0" xfId="15" applyFont="1" applyAlignment="1">
      <alignment horizontal="center" vertical="center"/>
    </xf>
    <xf numFmtId="0" fontId="79" fillId="0" borderId="0" xfId="15" applyAlignment="1"/>
    <xf numFmtId="3" fontId="0" fillId="0" borderId="6" xfId="0" applyNumberFormat="1" applyBorder="1" applyAlignment="1">
      <alignment horizontal="center" vertical="center"/>
    </xf>
    <xf numFmtId="0" fontId="11" fillId="0" borderId="6" xfId="3" applyFont="1" applyBorder="1" applyAlignment="1">
      <alignment horizontal="center"/>
    </xf>
    <xf numFmtId="0" fontId="11" fillId="0" borderId="7" xfId="3" applyFont="1" applyBorder="1" applyAlignment="1">
      <alignment horizontal="center"/>
    </xf>
    <xf numFmtId="0" fontId="8" fillId="11" borderId="9" xfId="0" applyFont="1" applyFill="1" applyBorder="1" applyAlignment="1">
      <alignment horizontal="center"/>
    </xf>
    <xf numFmtId="0" fontId="5" fillId="10" borderId="9" xfId="3" applyFont="1" applyFill="1" applyBorder="1" applyAlignment="1">
      <alignment horizontal="center"/>
    </xf>
    <xf numFmtId="0" fontId="11" fillId="10" borderId="12" xfId="3" applyFont="1" applyFill="1" applyBorder="1" applyAlignment="1">
      <alignment horizontal="center"/>
    </xf>
    <xf numFmtId="0" fontId="10" fillId="10" borderId="12" xfId="3" applyFill="1" applyBorder="1"/>
    <xf numFmtId="0" fontId="11" fillId="2" borderId="12" xfId="3" applyFont="1" applyFill="1" applyBorder="1" applyAlignment="1">
      <alignment horizontal="center"/>
    </xf>
    <xf numFmtId="0" fontId="10" fillId="2" borderId="12" xfId="3" applyFill="1" applyBorder="1"/>
    <xf numFmtId="0" fontId="5" fillId="2" borderId="9" xfId="3" applyFont="1" applyFill="1" applyBorder="1" applyAlignment="1">
      <alignment horizontal="center"/>
    </xf>
    <xf numFmtId="0" fontId="11" fillId="11" borderId="12" xfId="3" applyFont="1" applyFill="1" applyBorder="1" applyAlignment="1">
      <alignment horizontal="center"/>
    </xf>
    <xf numFmtId="0" fontId="10" fillId="11" borderId="12" xfId="3" applyFill="1" applyBorder="1"/>
    <xf numFmtId="0" fontId="27" fillId="0" borderId="0" xfId="6" applyFont="1" applyAlignment="1">
      <alignment horizontal="center"/>
    </xf>
    <xf numFmtId="167" fontId="0" fillId="6" borderId="13" xfId="0" applyNumberFormat="1" applyFill="1" applyBorder="1" applyAlignment="1">
      <alignment horizontal="right" indent="1"/>
    </xf>
  </cellXfs>
  <cellStyles count="16">
    <cellStyle name="Excel Built-in Normal" xfId="10"/>
    <cellStyle name="Hypertextový odkaz" xfId="11" builtinId="8"/>
    <cellStyle name="Měna 2" xfId="5"/>
    <cellStyle name="Normální" xfId="0" builtinId="0"/>
    <cellStyle name="Normální 10" xfId="15"/>
    <cellStyle name="Normální 2" xfId="1"/>
    <cellStyle name="normální 2 2" xfId="8"/>
    <cellStyle name="Normální 3" xfId="2"/>
    <cellStyle name="Normální 4" xfId="3"/>
    <cellStyle name="Normální 5" xfId="4"/>
    <cellStyle name="Normální 6" xfId="6"/>
    <cellStyle name="Normální 7" xfId="7"/>
    <cellStyle name="Normální 8" xfId="13"/>
    <cellStyle name="Normální 9" xfId="14"/>
    <cellStyle name="Procenta" xfId="12" builtinId="5"/>
    <cellStyle name="Procenta 2" xfId="9"/>
  </cellStyles>
  <dxfs count="108"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Vilibald%20Zunt\Dokumenty\Praha\Liga%20servis\Hejduk\R%20-%20rok%202000%20a%20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Př.-1B -př.skut-Rok 2001- kor"/>
      <sheetName val="Př 1A Původní vyúčtování 2001  "/>
      <sheetName val=" Výpočet Pův. vyúčt. 2001    "/>
      <sheetName val="podklad 2001"/>
      <sheetName val="NCABR-D-2001"/>
      <sheetName val=" Př 2B -př.skut-Rok 2000- kor "/>
      <sheetName val="Př 2A Původní vyúčtov 2000   "/>
      <sheetName val="NCABR-D- 2000"/>
      <sheetName val="1998 a 199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uživ.č.</v>
          </cell>
          <cell r="B1" t="str">
            <v>uživ.č. FNR</v>
          </cell>
          <cell r="C1" t="str">
            <v>od</v>
          </cell>
          <cell r="D1" t="str">
            <v>do</v>
          </cell>
          <cell r="E1" t="str">
            <v>vytápěná plocha</v>
          </cell>
          <cell r="F1" t="str">
            <v>náklady na teplo</v>
          </cell>
          <cell r="G1" t="str">
            <v>náklady na ohřev TUV</v>
          </cell>
          <cell r="H1" t="str">
            <v>náklady za SV pro TUV</v>
          </cell>
          <cell r="I1" t="str">
            <v>náklady za SV vedlejší náklady na dům</v>
          </cell>
          <cell r="J1" t="str">
            <v>celkový náklad</v>
          </cell>
          <cell r="K1" t="str">
            <v>přepl/nedopl</v>
          </cell>
          <cell r="L1" t="str">
            <v>spotřeba teplo dílky</v>
          </cell>
          <cell r="M1" t="str">
            <v>spotřeba TUV m3</v>
          </cell>
          <cell r="N1" t="str">
            <v>spotřeba SV pro TUV m3</v>
          </cell>
          <cell r="O1" t="str">
            <v>spotřeba SV m3</v>
          </cell>
        </row>
        <row r="2">
          <cell r="A2" t="str">
            <v>00010</v>
          </cell>
          <cell r="B2">
            <v>78800001</v>
          </cell>
          <cell r="C2">
            <v>36892</v>
          </cell>
          <cell r="D2">
            <v>37256</v>
          </cell>
          <cell r="E2">
            <v>60.92</v>
          </cell>
          <cell r="F2">
            <v>9240.16</v>
          </cell>
          <cell r="G2">
            <v>3015.66</v>
          </cell>
          <cell r="H2">
            <v>1514.68</v>
          </cell>
          <cell r="I2">
            <v>840.44</v>
          </cell>
          <cell r="J2">
            <v>14610.94</v>
          </cell>
          <cell r="K2">
            <v>14610.94</v>
          </cell>
          <cell r="L2">
            <v>8063.28</v>
          </cell>
          <cell r="M2">
            <v>37.32</v>
          </cell>
          <cell r="N2">
            <v>37.32</v>
          </cell>
          <cell r="O2">
            <v>22.44</v>
          </cell>
        </row>
        <row r="3">
          <cell r="A3" t="str">
            <v>00020</v>
          </cell>
          <cell r="B3">
            <v>78800002</v>
          </cell>
          <cell r="C3">
            <v>36892</v>
          </cell>
          <cell r="D3">
            <v>37256</v>
          </cell>
          <cell r="E3">
            <v>43.83</v>
          </cell>
          <cell r="F3">
            <v>4988.42</v>
          </cell>
          <cell r="G3">
            <v>5567.05</v>
          </cell>
          <cell r="H3">
            <v>3535.42</v>
          </cell>
          <cell r="I3">
            <v>2509.33</v>
          </cell>
          <cell r="J3">
            <v>16600.22</v>
          </cell>
          <cell r="K3">
            <v>16600.22</v>
          </cell>
          <cell r="L3">
            <v>3812.33</v>
          </cell>
          <cell r="M3">
            <v>91</v>
          </cell>
          <cell r="N3">
            <v>91</v>
          </cell>
          <cell r="O3">
            <v>67</v>
          </cell>
        </row>
        <row r="4">
          <cell r="A4" t="str">
            <v>00030</v>
          </cell>
          <cell r="B4">
            <v>78800003</v>
          </cell>
          <cell r="C4">
            <v>36892</v>
          </cell>
          <cell r="D4">
            <v>37256</v>
          </cell>
          <cell r="E4">
            <v>44.23</v>
          </cell>
          <cell r="F4">
            <v>2788.21</v>
          </cell>
          <cell r="G4">
            <v>3555.55</v>
          </cell>
          <cell r="H4">
            <v>2083.11</v>
          </cell>
          <cell r="I4">
            <v>2283.4899999999998</v>
          </cell>
          <cell r="J4">
            <v>10710.36</v>
          </cell>
          <cell r="K4">
            <v>10710.36</v>
          </cell>
          <cell r="L4">
            <v>1155.69</v>
          </cell>
          <cell r="M4">
            <v>52.89</v>
          </cell>
          <cell r="N4">
            <v>52.89</v>
          </cell>
          <cell r="O4">
            <v>60.97</v>
          </cell>
        </row>
        <row r="5">
          <cell r="A5" t="str">
            <v>00040</v>
          </cell>
          <cell r="B5">
            <v>78800004</v>
          </cell>
          <cell r="C5">
            <v>36892</v>
          </cell>
          <cell r="D5">
            <v>37256</v>
          </cell>
          <cell r="E5">
            <v>58.78</v>
          </cell>
          <cell r="F5">
            <v>6846.24</v>
          </cell>
          <cell r="G5">
            <v>1002.69</v>
          </cell>
          <cell r="H5">
            <v>88.64</v>
          </cell>
          <cell r="I5">
            <v>7602.9</v>
          </cell>
          <cell r="J5">
            <v>15540.47</v>
          </cell>
          <cell r="K5">
            <v>15540.47</v>
          </cell>
          <cell r="L5">
            <v>5300.02</v>
          </cell>
          <cell r="M5">
            <v>0</v>
          </cell>
          <cell r="N5">
            <v>0</v>
          </cell>
          <cell r="O5">
            <v>203</v>
          </cell>
        </row>
        <row r="6">
          <cell r="A6" t="str">
            <v>00050</v>
          </cell>
          <cell r="B6">
            <v>78800005</v>
          </cell>
          <cell r="C6">
            <v>36892</v>
          </cell>
          <cell r="D6">
            <v>37256</v>
          </cell>
          <cell r="E6">
            <v>60.92</v>
          </cell>
          <cell r="F6">
            <v>5417.29</v>
          </cell>
          <cell r="G6">
            <v>4113.01</v>
          </cell>
          <cell r="H6">
            <v>2304.61</v>
          </cell>
          <cell r="I6">
            <v>2577.4899999999998</v>
          </cell>
          <cell r="J6">
            <v>14412.4</v>
          </cell>
          <cell r="K6">
            <v>14412.4</v>
          </cell>
          <cell r="L6">
            <v>3481.7</v>
          </cell>
          <cell r="M6">
            <v>58.04</v>
          </cell>
          <cell r="N6">
            <v>58.04</v>
          </cell>
          <cell r="O6">
            <v>68.819999999999993</v>
          </cell>
        </row>
        <row r="7">
          <cell r="A7" t="str">
            <v>00060</v>
          </cell>
          <cell r="B7">
            <v>78800006</v>
          </cell>
          <cell r="C7">
            <v>36892</v>
          </cell>
          <cell r="D7">
            <v>37256</v>
          </cell>
          <cell r="E7">
            <v>43.83</v>
          </cell>
          <cell r="F7">
            <v>3737.55</v>
          </cell>
          <cell r="G7">
            <v>2185.0100000000002</v>
          </cell>
          <cell r="H7">
            <v>1100.8</v>
          </cell>
          <cell r="I7">
            <v>1766.27</v>
          </cell>
          <cell r="J7">
            <v>8789.6299999999992</v>
          </cell>
          <cell r="K7">
            <v>8789.6299999999992</v>
          </cell>
          <cell r="L7">
            <v>2313.21</v>
          </cell>
          <cell r="M7">
            <v>27.14</v>
          </cell>
          <cell r="N7">
            <v>27.14</v>
          </cell>
          <cell r="O7">
            <v>47.16</v>
          </cell>
        </row>
        <row r="8">
          <cell r="A8" t="str">
            <v>00070</v>
          </cell>
          <cell r="B8">
            <v>78800007</v>
          </cell>
          <cell r="C8">
            <v>36892</v>
          </cell>
          <cell r="D8">
            <v>37256</v>
          </cell>
          <cell r="E8">
            <v>44.23</v>
          </cell>
          <cell r="F8">
            <v>3397.94</v>
          </cell>
          <cell r="G8">
            <v>1025.1199999999999</v>
          </cell>
          <cell r="H8">
            <v>261.52</v>
          </cell>
          <cell r="I8">
            <v>524.34</v>
          </cell>
          <cell r="J8">
            <v>5208.92</v>
          </cell>
          <cell r="K8">
            <v>5208.92</v>
          </cell>
          <cell r="L8">
            <v>1886.42</v>
          </cell>
          <cell r="M8">
            <v>5.1100000000000003</v>
          </cell>
          <cell r="N8">
            <v>5.1100000000000003</v>
          </cell>
          <cell r="O8">
            <v>14</v>
          </cell>
        </row>
        <row r="9">
          <cell r="A9" t="str">
            <v>00080</v>
          </cell>
          <cell r="B9">
            <v>78800008</v>
          </cell>
          <cell r="C9">
            <v>36892</v>
          </cell>
          <cell r="D9">
            <v>37256</v>
          </cell>
          <cell r="E9">
            <v>58.78</v>
          </cell>
          <cell r="F9">
            <v>7170.24</v>
          </cell>
          <cell r="G9">
            <v>3113.15</v>
          </cell>
          <cell r="H9">
            <v>1607.9</v>
          </cell>
          <cell r="I9">
            <v>2235.9299999999998</v>
          </cell>
          <cell r="J9">
            <v>14127.22</v>
          </cell>
          <cell r="K9">
            <v>14127.22</v>
          </cell>
          <cell r="L9">
            <v>5688.32</v>
          </cell>
          <cell r="M9">
            <v>39.85</v>
          </cell>
          <cell r="N9">
            <v>39.85</v>
          </cell>
          <cell r="O9">
            <v>59.7</v>
          </cell>
        </row>
        <row r="10">
          <cell r="A10" t="str">
            <v>00090</v>
          </cell>
          <cell r="B10">
            <v>78800009</v>
          </cell>
          <cell r="C10">
            <v>36892</v>
          </cell>
          <cell r="D10">
            <v>37256</v>
          </cell>
          <cell r="E10">
            <v>60.92</v>
          </cell>
          <cell r="F10">
            <v>4660.34</v>
          </cell>
          <cell r="G10">
            <v>3949.35</v>
          </cell>
          <cell r="H10">
            <v>2186.81</v>
          </cell>
          <cell r="I10">
            <v>2465.88</v>
          </cell>
          <cell r="J10">
            <v>13262.38</v>
          </cell>
          <cell r="K10">
            <v>13262.38</v>
          </cell>
          <cell r="L10">
            <v>2574.5300000000002</v>
          </cell>
          <cell r="M10">
            <v>54.95</v>
          </cell>
          <cell r="N10">
            <v>54.95</v>
          </cell>
          <cell r="O10">
            <v>65.84</v>
          </cell>
        </row>
        <row r="11">
          <cell r="A11" t="str">
            <v>00100</v>
          </cell>
          <cell r="B11">
            <v>78800010</v>
          </cell>
          <cell r="C11">
            <v>36892</v>
          </cell>
          <cell r="D11">
            <v>36922</v>
          </cell>
          <cell r="E11">
            <v>46.83</v>
          </cell>
          <cell r="F11">
            <v>917.28</v>
          </cell>
          <cell r="G11">
            <v>67.849999999999994</v>
          </cell>
          <cell r="H11">
            <v>6</v>
          </cell>
          <cell r="I11">
            <v>0</v>
          </cell>
          <cell r="J11">
            <v>991.13</v>
          </cell>
          <cell r="K11">
            <v>991.13</v>
          </cell>
          <cell r="L11">
            <v>659.59799999999996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00100</v>
          </cell>
          <cell r="B12">
            <v>78800010</v>
          </cell>
          <cell r="C12">
            <v>36923</v>
          </cell>
          <cell r="D12">
            <v>37256</v>
          </cell>
          <cell r="E12">
            <v>46.83</v>
          </cell>
          <cell r="F12">
            <v>3910.52</v>
          </cell>
          <cell r="G12">
            <v>942.83</v>
          </cell>
          <cell r="H12">
            <v>217.13</v>
          </cell>
          <cell r="I12">
            <v>187.27</v>
          </cell>
          <cell r="J12">
            <v>5257.75</v>
          </cell>
          <cell r="K12">
            <v>5257.75</v>
          </cell>
          <cell r="L12">
            <v>2811.97</v>
          </cell>
          <cell r="M12">
            <v>4</v>
          </cell>
          <cell r="N12">
            <v>4</v>
          </cell>
          <cell r="O12">
            <v>5</v>
          </cell>
        </row>
        <row r="13">
          <cell r="A13" t="str">
            <v>00110</v>
          </cell>
          <cell r="B13">
            <v>78800011</v>
          </cell>
          <cell r="C13">
            <v>36892</v>
          </cell>
          <cell r="D13">
            <v>36950</v>
          </cell>
          <cell r="E13">
            <v>44.23</v>
          </cell>
          <cell r="F13">
            <v>1060.8</v>
          </cell>
          <cell r="G13">
            <v>303.88</v>
          </cell>
          <cell r="H13">
            <v>141.72999999999999</v>
          </cell>
          <cell r="I13">
            <v>201.72</v>
          </cell>
          <cell r="J13">
            <v>1708.13</v>
          </cell>
          <cell r="K13">
            <v>1708.13</v>
          </cell>
          <cell r="L13">
            <v>506.26799999999997</v>
          </cell>
          <cell r="M13">
            <v>3.4350000000000001</v>
          </cell>
          <cell r="N13">
            <v>3.4350000000000001</v>
          </cell>
          <cell r="O13">
            <v>5.3860000000000001</v>
          </cell>
        </row>
        <row r="14">
          <cell r="A14" t="str">
            <v>00110</v>
          </cell>
          <cell r="B14">
            <v>78800011</v>
          </cell>
          <cell r="C14">
            <v>36951</v>
          </cell>
          <cell r="D14">
            <v>37256</v>
          </cell>
          <cell r="E14">
            <v>44.23</v>
          </cell>
          <cell r="F14">
            <v>1970.05</v>
          </cell>
          <cell r="G14">
            <v>1576.03</v>
          </cell>
          <cell r="H14">
            <v>735.11</v>
          </cell>
          <cell r="I14">
            <v>1046.2</v>
          </cell>
          <cell r="J14">
            <v>5327.39</v>
          </cell>
          <cell r="K14">
            <v>5327.39</v>
          </cell>
          <cell r="L14">
            <v>940.21199999999999</v>
          </cell>
          <cell r="M14">
            <v>17.815000000000001</v>
          </cell>
          <cell r="N14">
            <v>17.815000000000001</v>
          </cell>
          <cell r="O14">
            <v>27.934000000000001</v>
          </cell>
        </row>
        <row r="15">
          <cell r="A15" t="str">
            <v>00120</v>
          </cell>
          <cell r="B15">
            <v>78800012</v>
          </cell>
          <cell r="C15">
            <v>36892</v>
          </cell>
          <cell r="D15">
            <v>37256</v>
          </cell>
          <cell r="E15">
            <v>58.78</v>
          </cell>
          <cell r="F15">
            <v>5247.82</v>
          </cell>
          <cell r="G15">
            <v>2114.85</v>
          </cell>
          <cell r="H15">
            <v>889.25</v>
          </cell>
          <cell r="I15">
            <v>768.91</v>
          </cell>
          <cell r="J15">
            <v>9020.83</v>
          </cell>
          <cell r="K15">
            <v>9020.83</v>
          </cell>
          <cell r="L15">
            <v>3384.37</v>
          </cell>
          <cell r="M15">
            <v>21</v>
          </cell>
          <cell r="N15">
            <v>21</v>
          </cell>
          <cell r="O15">
            <v>20.53</v>
          </cell>
        </row>
        <row r="16">
          <cell r="A16" t="str">
            <v>00130</v>
          </cell>
          <cell r="B16">
            <v>78800013</v>
          </cell>
          <cell r="C16">
            <v>36892</v>
          </cell>
          <cell r="D16">
            <v>37256</v>
          </cell>
          <cell r="E16">
            <v>60.92</v>
          </cell>
          <cell r="F16">
            <v>3795.89</v>
          </cell>
          <cell r="G16">
            <v>3642.71</v>
          </cell>
          <cell r="H16">
            <v>1966.07</v>
          </cell>
          <cell r="I16">
            <v>2240.04</v>
          </cell>
          <cell r="J16">
            <v>11644.71</v>
          </cell>
          <cell r="K16">
            <v>11644.71</v>
          </cell>
          <cell r="L16">
            <v>1538.52</v>
          </cell>
          <cell r="M16">
            <v>49.16</v>
          </cell>
          <cell r="N16">
            <v>49.16</v>
          </cell>
          <cell r="O16">
            <v>59.81</v>
          </cell>
        </row>
        <row r="17">
          <cell r="A17" t="str">
            <v>00140</v>
          </cell>
          <cell r="B17">
            <v>78800014</v>
          </cell>
          <cell r="C17">
            <v>36892</v>
          </cell>
          <cell r="D17">
            <v>37256</v>
          </cell>
          <cell r="E17">
            <v>43.83</v>
          </cell>
          <cell r="F17">
            <v>3289.87</v>
          </cell>
          <cell r="G17">
            <v>3066.8</v>
          </cell>
          <cell r="H17">
            <v>1735.57</v>
          </cell>
          <cell r="I17">
            <v>1613.84</v>
          </cell>
          <cell r="J17">
            <v>9706.08</v>
          </cell>
          <cell r="K17">
            <v>9706.08</v>
          </cell>
          <cell r="L17">
            <v>1776.68</v>
          </cell>
          <cell r="M17">
            <v>43.79</v>
          </cell>
          <cell r="N17">
            <v>43.79</v>
          </cell>
          <cell r="O17">
            <v>43.09</v>
          </cell>
        </row>
        <row r="18">
          <cell r="A18" t="str">
            <v>00150</v>
          </cell>
          <cell r="B18">
            <v>78800015</v>
          </cell>
          <cell r="C18">
            <v>36892</v>
          </cell>
          <cell r="D18">
            <v>37256</v>
          </cell>
          <cell r="E18">
            <v>44.23</v>
          </cell>
          <cell r="F18">
            <v>4559.7700000000004</v>
          </cell>
          <cell r="G18">
            <v>2766.98</v>
          </cell>
          <cell r="H18">
            <v>1515.44</v>
          </cell>
          <cell r="I18">
            <v>1647.92</v>
          </cell>
          <cell r="J18">
            <v>10490.11</v>
          </cell>
          <cell r="K18">
            <v>10490.11</v>
          </cell>
          <cell r="L18">
            <v>3278.8270000000002</v>
          </cell>
          <cell r="M18">
            <v>38</v>
          </cell>
          <cell r="N18">
            <v>38</v>
          </cell>
          <cell r="O18">
            <v>44</v>
          </cell>
        </row>
        <row r="19">
          <cell r="A19" t="str">
            <v>00160</v>
          </cell>
          <cell r="B19">
            <v>78800016</v>
          </cell>
          <cell r="C19">
            <v>36892</v>
          </cell>
          <cell r="D19">
            <v>37256</v>
          </cell>
          <cell r="E19">
            <v>58.78</v>
          </cell>
          <cell r="F19">
            <v>11828.13</v>
          </cell>
          <cell r="G19">
            <v>5094.92</v>
          </cell>
          <cell r="H19">
            <v>3034.51</v>
          </cell>
          <cell r="I19">
            <v>3314.19</v>
          </cell>
          <cell r="J19">
            <v>23271.75</v>
          </cell>
          <cell r="K19">
            <v>23271.75</v>
          </cell>
          <cell r="L19">
            <v>11270.64</v>
          </cell>
          <cell r="M19">
            <v>77.27</v>
          </cell>
          <cell r="N19">
            <v>77.27</v>
          </cell>
          <cell r="O19">
            <v>88.49</v>
          </cell>
        </row>
        <row r="20">
          <cell r="A20" t="str">
            <v>00170</v>
          </cell>
          <cell r="B20">
            <v>78800017</v>
          </cell>
          <cell r="C20">
            <v>36892</v>
          </cell>
          <cell r="D20">
            <v>37256</v>
          </cell>
          <cell r="E20">
            <v>60.92</v>
          </cell>
          <cell r="F20">
            <v>13395.69</v>
          </cell>
          <cell r="G20">
            <v>3782.53</v>
          </cell>
          <cell r="H20">
            <v>2066.7199999999998</v>
          </cell>
          <cell r="I20">
            <v>3298.83</v>
          </cell>
          <cell r="J20">
            <v>22543.77</v>
          </cell>
          <cell r="K20">
            <v>22543.77</v>
          </cell>
          <cell r="L20">
            <v>13043.54</v>
          </cell>
          <cell r="M20">
            <v>51.8</v>
          </cell>
          <cell r="N20">
            <v>51.8</v>
          </cell>
          <cell r="O20">
            <v>88.08</v>
          </cell>
        </row>
        <row r="21">
          <cell r="A21" t="str">
            <v>00180</v>
          </cell>
          <cell r="B21">
            <v>78800018</v>
          </cell>
          <cell r="C21">
            <v>36892</v>
          </cell>
          <cell r="D21">
            <v>37256</v>
          </cell>
          <cell r="E21">
            <v>43.829999999999927</v>
          </cell>
          <cell r="F21">
            <v>4518.5200000000004</v>
          </cell>
          <cell r="G21">
            <v>3326.3</v>
          </cell>
          <cell r="H21">
            <v>1922.38</v>
          </cell>
          <cell r="I21">
            <v>1894.36</v>
          </cell>
          <cell r="J21">
            <v>11661.56</v>
          </cell>
          <cell r="K21">
            <v>11661.56</v>
          </cell>
          <cell r="L21">
            <v>3249.174</v>
          </cell>
          <cell r="M21">
            <v>48.69</v>
          </cell>
          <cell r="N21">
            <v>48.69</v>
          </cell>
          <cell r="O21">
            <v>50.58</v>
          </cell>
        </row>
        <row r="22">
          <cell r="A22" t="str">
            <v>00190</v>
          </cell>
          <cell r="B22">
            <v>78800019</v>
          </cell>
          <cell r="C22">
            <v>36892</v>
          </cell>
          <cell r="D22">
            <v>37256</v>
          </cell>
          <cell r="E22">
            <v>44.23</v>
          </cell>
          <cell r="F22">
            <v>6890.25</v>
          </cell>
          <cell r="G22">
            <v>2819.94</v>
          </cell>
          <cell r="H22">
            <v>1553.56</v>
          </cell>
          <cell r="I22">
            <v>2097.35</v>
          </cell>
          <cell r="J22">
            <v>13361.1</v>
          </cell>
          <cell r="K22">
            <v>13361.1</v>
          </cell>
          <cell r="L22">
            <v>6071.83</v>
          </cell>
          <cell r="M22">
            <v>39</v>
          </cell>
          <cell r="N22">
            <v>39</v>
          </cell>
          <cell r="O22">
            <v>56</v>
          </cell>
        </row>
        <row r="23">
          <cell r="A23" t="str">
            <v>00200</v>
          </cell>
          <cell r="B23">
            <v>78800020</v>
          </cell>
          <cell r="C23">
            <v>36892</v>
          </cell>
          <cell r="D23">
            <v>37256</v>
          </cell>
          <cell r="E23">
            <v>58.78</v>
          </cell>
          <cell r="F23">
            <v>6059.75</v>
          </cell>
          <cell r="G23">
            <v>2886.48</v>
          </cell>
          <cell r="H23">
            <v>1444.73</v>
          </cell>
          <cell r="I23">
            <v>2420.19</v>
          </cell>
          <cell r="J23">
            <v>12811.15</v>
          </cell>
          <cell r="K23">
            <v>12811.15</v>
          </cell>
          <cell r="L23">
            <v>4357.4369999999999</v>
          </cell>
          <cell r="M23">
            <v>35.57</v>
          </cell>
          <cell r="N23">
            <v>35.57</v>
          </cell>
          <cell r="O23">
            <v>64.62</v>
          </cell>
        </row>
        <row r="24">
          <cell r="A24" t="str">
            <v>00210</v>
          </cell>
          <cell r="B24">
            <v>78800021</v>
          </cell>
          <cell r="C24">
            <v>36892</v>
          </cell>
          <cell r="D24">
            <v>37256</v>
          </cell>
          <cell r="E24">
            <v>81.430000000000064</v>
          </cell>
          <cell r="F24">
            <v>8316.15</v>
          </cell>
          <cell r="G24">
            <v>6023.08</v>
          </cell>
          <cell r="H24">
            <v>3458.69</v>
          </cell>
          <cell r="I24">
            <v>2723.19</v>
          </cell>
          <cell r="J24">
            <v>20521.11</v>
          </cell>
          <cell r="K24">
            <v>20521.11</v>
          </cell>
          <cell r="L24">
            <v>5942.27</v>
          </cell>
          <cell r="M24">
            <v>87.5</v>
          </cell>
          <cell r="N24">
            <v>87.5</v>
          </cell>
          <cell r="O24">
            <v>72.709999999999994</v>
          </cell>
        </row>
        <row r="25">
          <cell r="A25" t="str">
            <v>00220</v>
          </cell>
          <cell r="B25">
            <v>78800401</v>
          </cell>
          <cell r="C25">
            <v>36892</v>
          </cell>
          <cell r="D25">
            <v>37256</v>
          </cell>
          <cell r="E25">
            <v>50.2</v>
          </cell>
          <cell r="F25">
            <v>0</v>
          </cell>
          <cell r="G25">
            <v>0</v>
          </cell>
          <cell r="H25">
            <v>0</v>
          </cell>
          <cell r="I25">
            <v>2247.16</v>
          </cell>
          <cell r="J25">
            <v>2247.16</v>
          </cell>
          <cell r="K25">
            <v>2247.16</v>
          </cell>
          <cell r="L25">
            <v>0</v>
          </cell>
          <cell r="M25">
            <v>0</v>
          </cell>
          <cell r="N25">
            <v>0</v>
          </cell>
          <cell r="O25">
            <v>60</v>
          </cell>
        </row>
        <row r="26">
          <cell r="A26" t="str">
            <v>00230</v>
          </cell>
          <cell r="B26">
            <v>78800601</v>
          </cell>
          <cell r="C26">
            <v>36892</v>
          </cell>
          <cell r="D26">
            <v>37256</v>
          </cell>
          <cell r="E26">
            <v>49.8</v>
          </cell>
          <cell r="F26">
            <v>0</v>
          </cell>
          <cell r="G26">
            <v>0</v>
          </cell>
          <cell r="H26">
            <v>0</v>
          </cell>
          <cell r="I26">
            <v>2271.13</v>
          </cell>
          <cell r="J26">
            <v>2271.13</v>
          </cell>
          <cell r="K26">
            <v>2271.13</v>
          </cell>
          <cell r="L26">
            <v>0</v>
          </cell>
          <cell r="M26">
            <v>0</v>
          </cell>
          <cell r="N26">
            <v>0</v>
          </cell>
          <cell r="O26">
            <v>60.64</v>
          </cell>
        </row>
        <row r="27">
          <cell r="A27" t="str">
            <v>00240</v>
          </cell>
          <cell r="B27">
            <v>78900001</v>
          </cell>
          <cell r="C27">
            <v>36892</v>
          </cell>
          <cell r="D27">
            <v>37256</v>
          </cell>
          <cell r="E27">
            <v>60.920000000000073</v>
          </cell>
          <cell r="F27">
            <v>7617.35</v>
          </cell>
          <cell r="G27">
            <v>1846.84</v>
          </cell>
          <cell r="H27">
            <v>673.27</v>
          </cell>
          <cell r="I27">
            <v>872.65</v>
          </cell>
          <cell r="J27">
            <v>11010.11</v>
          </cell>
          <cell r="K27">
            <v>11010.11</v>
          </cell>
          <cell r="L27">
            <v>6118.4</v>
          </cell>
          <cell r="M27">
            <v>15.25</v>
          </cell>
          <cell r="N27">
            <v>15.25</v>
          </cell>
          <cell r="O27">
            <v>23.3</v>
          </cell>
        </row>
        <row r="28">
          <cell r="A28" t="str">
            <v>00250</v>
          </cell>
          <cell r="B28">
            <v>78900002</v>
          </cell>
          <cell r="C28">
            <v>36892</v>
          </cell>
          <cell r="D28">
            <v>37256</v>
          </cell>
          <cell r="E28">
            <v>43.829999999999927</v>
          </cell>
          <cell r="F28">
            <v>8841.14</v>
          </cell>
          <cell r="G28">
            <v>3102.28</v>
          </cell>
          <cell r="H28">
            <v>1761.11</v>
          </cell>
          <cell r="I28">
            <v>2049.79</v>
          </cell>
          <cell r="J28">
            <v>15754.32</v>
          </cell>
          <cell r="K28">
            <v>15754.32</v>
          </cell>
          <cell r="L28">
            <v>8429.67</v>
          </cell>
          <cell r="M28">
            <v>44.46</v>
          </cell>
          <cell r="N28">
            <v>44.46</v>
          </cell>
          <cell r="O28">
            <v>54.73</v>
          </cell>
        </row>
        <row r="29">
          <cell r="A29" t="str">
            <v>00260</v>
          </cell>
          <cell r="B29">
            <v>78900003</v>
          </cell>
          <cell r="C29">
            <v>36892</v>
          </cell>
          <cell r="D29">
            <v>37256</v>
          </cell>
          <cell r="E29">
            <v>44.23</v>
          </cell>
          <cell r="F29">
            <v>2836.65</v>
          </cell>
          <cell r="G29">
            <v>1919.61</v>
          </cell>
          <cell r="H29">
            <v>905.44</v>
          </cell>
          <cell r="I29">
            <v>2097.35</v>
          </cell>
          <cell r="J29">
            <v>7759.05</v>
          </cell>
          <cell r="K29">
            <v>7759.05</v>
          </cell>
          <cell r="L29">
            <v>1213.75</v>
          </cell>
          <cell r="M29">
            <v>22</v>
          </cell>
          <cell r="N29">
            <v>22</v>
          </cell>
          <cell r="O29">
            <v>56</v>
          </cell>
        </row>
        <row r="30">
          <cell r="A30" t="str">
            <v>00270</v>
          </cell>
          <cell r="B30">
            <v>78900004</v>
          </cell>
          <cell r="C30">
            <v>36892</v>
          </cell>
          <cell r="D30">
            <v>37256</v>
          </cell>
          <cell r="E30">
            <v>58.78</v>
          </cell>
          <cell r="F30">
            <v>9485.18</v>
          </cell>
          <cell r="G30">
            <v>1909.37</v>
          </cell>
          <cell r="H30">
            <v>741.34</v>
          </cell>
          <cell r="I30">
            <v>2196.23</v>
          </cell>
          <cell r="J30">
            <v>14332.12</v>
          </cell>
          <cell r="K30">
            <v>14332.12</v>
          </cell>
          <cell r="L30">
            <v>8462.68</v>
          </cell>
          <cell r="M30">
            <v>17.12</v>
          </cell>
          <cell r="N30">
            <v>17.12</v>
          </cell>
          <cell r="O30">
            <v>58.64</v>
          </cell>
        </row>
        <row r="31">
          <cell r="A31" t="str">
            <v>00280</v>
          </cell>
          <cell r="B31">
            <v>78900005</v>
          </cell>
          <cell r="C31">
            <v>36892</v>
          </cell>
          <cell r="D31">
            <v>37256</v>
          </cell>
          <cell r="E31">
            <v>60.920000000000073</v>
          </cell>
          <cell r="F31">
            <v>4066.99</v>
          </cell>
          <cell r="G31">
            <v>2933.05</v>
          </cell>
          <cell r="H31">
            <v>1455.2</v>
          </cell>
          <cell r="I31">
            <v>2136.67</v>
          </cell>
          <cell r="J31">
            <v>10591.91</v>
          </cell>
          <cell r="K31">
            <v>10591.91</v>
          </cell>
          <cell r="L31">
            <v>1863.43</v>
          </cell>
          <cell r="M31">
            <v>35.76</v>
          </cell>
          <cell r="N31">
            <v>35.76</v>
          </cell>
          <cell r="O31">
            <v>57.05</v>
          </cell>
        </row>
        <row r="32">
          <cell r="A32" t="str">
            <v>00290</v>
          </cell>
          <cell r="B32">
            <v>78900006</v>
          </cell>
          <cell r="C32">
            <v>36892</v>
          </cell>
          <cell r="D32">
            <v>37256</v>
          </cell>
          <cell r="E32">
            <v>43.829999999999927</v>
          </cell>
          <cell r="F32">
            <v>3103.18</v>
          </cell>
          <cell r="G32">
            <v>2240.08</v>
          </cell>
          <cell r="H32">
            <v>1140.44</v>
          </cell>
          <cell r="I32">
            <v>1475.26</v>
          </cell>
          <cell r="J32">
            <v>7958.96</v>
          </cell>
          <cell r="K32">
            <v>7958.96</v>
          </cell>
          <cell r="L32">
            <v>1552.93</v>
          </cell>
          <cell r="M32">
            <v>28.18</v>
          </cell>
          <cell r="N32">
            <v>28.18</v>
          </cell>
          <cell r="O32">
            <v>39.39</v>
          </cell>
        </row>
        <row r="33">
          <cell r="A33" t="str">
            <v>00300</v>
          </cell>
          <cell r="B33">
            <v>78900007</v>
          </cell>
          <cell r="C33">
            <v>36892</v>
          </cell>
          <cell r="D33">
            <v>37256</v>
          </cell>
          <cell r="E33">
            <v>44.23</v>
          </cell>
          <cell r="F33">
            <v>3809.05</v>
          </cell>
          <cell r="G33">
            <v>2449.2199999999998</v>
          </cell>
          <cell r="H33">
            <v>1286.68</v>
          </cell>
          <cell r="I33">
            <v>1835.19</v>
          </cell>
          <cell r="J33">
            <v>9380.14</v>
          </cell>
          <cell r="K33">
            <v>9380.14</v>
          </cell>
          <cell r="L33">
            <v>2379.12</v>
          </cell>
          <cell r="M33">
            <v>32</v>
          </cell>
          <cell r="N33">
            <v>32</v>
          </cell>
          <cell r="O33">
            <v>49</v>
          </cell>
        </row>
        <row r="34">
          <cell r="A34" t="str">
            <v>00310</v>
          </cell>
          <cell r="B34">
            <v>78900008</v>
          </cell>
          <cell r="C34">
            <v>36892</v>
          </cell>
          <cell r="D34">
            <v>37256</v>
          </cell>
          <cell r="E34">
            <v>58.78</v>
          </cell>
          <cell r="F34">
            <v>3361.07</v>
          </cell>
          <cell r="G34">
            <v>1888.71</v>
          </cell>
          <cell r="H34">
            <v>726.48</v>
          </cell>
          <cell r="I34">
            <v>3292.84</v>
          </cell>
          <cell r="J34">
            <v>9269.1</v>
          </cell>
          <cell r="K34">
            <v>9269.1</v>
          </cell>
          <cell r="L34">
            <v>1123.17</v>
          </cell>
          <cell r="M34">
            <v>16.73</v>
          </cell>
          <cell r="N34">
            <v>16.73</v>
          </cell>
          <cell r="O34">
            <v>87.92</v>
          </cell>
        </row>
        <row r="35">
          <cell r="A35" t="str">
            <v>00320</v>
          </cell>
          <cell r="B35">
            <v>78900009</v>
          </cell>
          <cell r="C35">
            <v>36892</v>
          </cell>
          <cell r="D35">
            <v>37256</v>
          </cell>
          <cell r="E35">
            <v>60.920000000000073</v>
          </cell>
          <cell r="F35">
            <v>2599.09</v>
          </cell>
          <cell r="G35">
            <v>2324.02</v>
          </cell>
          <cell r="H35">
            <v>1016.77</v>
          </cell>
          <cell r="I35">
            <v>1164.4000000000001</v>
          </cell>
          <cell r="J35">
            <v>7104.28</v>
          </cell>
          <cell r="K35">
            <v>7104.28</v>
          </cell>
          <cell r="L35">
            <v>104.2</v>
          </cell>
          <cell r="M35">
            <v>24.26</v>
          </cell>
          <cell r="N35">
            <v>24.26</v>
          </cell>
          <cell r="O35">
            <v>31.09</v>
          </cell>
        </row>
        <row r="36">
          <cell r="A36" t="str">
            <v>00330</v>
          </cell>
          <cell r="B36">
            <v>78900010</v>
          </cell>
          <cell r="C36">
            <v>36892</v>
          </cell>
          <cell r="D36">
            <v>37256</v>
          </cell>
          <cell r="E36">
            <v>43.829999999999927</v>
          </cell>
          <cell r="F36">
            <v>4471.67</v>
          </cell>
          <cell r="G36">
            <v>2430.73</v>
          </cell>
          <cell r="H36">
            <v>1277.69</v>
          </cell>
          <cell r="I36">
            <v>1874.89</v>
          </cell>
          <cell r="J36">
            <v>10054.98</v>
          </cell>
          <cell r="K36">
            <v>10054.98</v>
          </cell>
          <cell r="L36">
            <v>3193.02</v>
          </cell>
          <cell r="M36">
            <v>31.78</v>
          </cell>
          <cell r="N36">
            <v>31.78</v>
          </cell>
          <cell r="O36">
            <v>50.06</v>
          </cell>
        </row>
        <row r="37">
          <cell r="A37" t="str">
            <v>00340</v>
          </cell>
          <cell r="B37">
            <v>78900011</v>
          </cell>
          <cell r="C37">
            <v>36892</v>
          </cell>
          <cell r="D37">
            <v>37256</v>
          </cell>
          <cell r="E37">
            <v>44.23</v>
          </cell>
          <cell r="F37">
            <v>2331.71</v>
          </cell>
          <cell r="G37">
            <v>2502.1799999999998</v>
          </cell>
          <cell r="H37">
            <v>1324.81</v>
          </cell>
          <cell r="I37">
            <v>3295.83</v>
          </cell>
          <cell r="J37">
            <v>9454.5300000000007</v>
          </cell>
          <cell r="K37">
            <v>9454.5300000000007</v>
          </cell>
          <cell r="L37">
            <v>608.58000000000004</v>
          </cell>
          <cell r="M37">
            <v>33</v>
          </cell>
          <cell r="N37">
            <v>33</v>
          </cell>
          <cell r="O37">
            <v>88</v>
          </cell>
        </row>
        <row r="38">
          <cell r="A38" t="str">
            <v>00350</v>
          </cell>
          <cell r="B38">
            <v>78900012</v>
          </cell>
          <cell r="C38">
            <v>36892</v>
          </cell>
          <cell r="D38">
            <v>37256</v>
          </cell>
          <cell r="E38">
            <v>58.78</v>
          </cell>
          <cell r="F38">
            <v>5596.54</v>
          </cell>
          <cell r="G38">
            <v>5077.97</v>
          </cell>
          <cell r="H38">
            <v>3022.32</v>
          </cell>
          <cell r="I38">
            <v>3450.15</v>
          </cell>
          <cell r="J38">
            <v>17146.98</v>
          </cell>
          <cell r="K38">
            <v>17146.98</v>
          </cell>
          <cell r="L38">
            <v>3802.3</v>
          </cell>
          <cell r="M38">
            <v>76.95</v>
          </cell>
          <cell r="N38">
            <v>76.95</v>
          </cell>
          <cell r="O38">
            <v>92.12</v>
          </cell>
        </row>
        <row r="39">
          <cell r="A39" t="str">
            <v>00360</v>
          </cell>
          <cell r="B39">
            <v>78900013</v>
          </cell>
          <cell r="C39">
            <v>36892</v>
          </cell>
          <cell r="D39">
            <v>37256</v>
          </cell>
          <cell r="E39">
            <v>60.920000000000073</v>
          </cell>
          <cell r="F39">
            <v>8049.43</v>
          </cell>
          <cell r="G39">
            <v>2988.14</v>
          </cell>
          <cell r="H39">
            <v>1494.85</v>
          </cell>
          <cell r="I39">
            <v>2289.11</v>
          </cell>
          <cell r="J39">
            <v>14821.53</v>
          </cell>
          <cell r="K39">
            <v>14821.53</v>
          </cell>
          <cell r="L39">
            <v>6636.23</v>
          </cell>
          <cell r="M39">
            <v>36.799999999999997</v>
          </cell>
          <cell r="N39">
            <v>36.799999999999997</v>
          </cell>
          <cell r="O39">
            <v>61.12</v>
          </cell>
        </row>
        <row r="40">
          <cell r="A40" t="str">
            <v>00370</v>
          </cell>
          <cell r="B40">
            <v>78900014</v>
          </cell>
          <cell r="C40">
            <v>36892</v>
          </cell>
          <cell r="D40">
            <v>37256</v>
          </cell>
          <cell r="E40">
            <v>43.829999999999927</v>
          </cell>
          <cell r="F40">
            <v>3081.21</v>
          </cell>
          <cell r="G40">
            <v>2071.67</v>
          </cell>
          <cell r="H40">
            <v>1019.21</v>
          </cell>
          <cell r="I40">
            <v>1161.03</v>
          </cell>
          <cell r="J40">
            <v>7333.12</v>
          </cell>
          <cell r="K40">
            <v>7333.12</v>
          </cell>
          <cell r="L40">
            <v>1526.61</v>
          </cell>
          <cell r="M40">
            <v>25</v>
          </cell>
          <cell r="N40">
            <v>25</v>
          </cell>
          <cell r="O40">
            <v>31</v>
          </cell>
        </row>
        <row r="41">
          <cell r="A41" t="str">
            <v>00380</v>
          </cell>
          <cell r="B41">
            <v>78900015</v>
          </cell>
          <cell r="C41">
            <v>36892</v>
          </cell>
          <cell r="D41">
            <v>37256</v>
          </cell>
          <cell r="E41">
            <v>44.229999999999791</v>
          </cell>
          <cell r="F41">
            <v>4676.8900000000003</v>
          </cell>
          <cell r="G41">
            <v>4742.3900000000003</v>
          </cell>
          <cell r="H41">
            <v>2937.47</v>
          </cell>
          <cell r="I41">
            <v>2996.96</v>
          </cell>
          <cell r="J41">
            <v>15353.71</v>
          </cell>
          <cell r="K41">
            <v>15353.71</v>
          </cell>
          <cell r="L41">
            <v>3419.2</v>
          </cell>
          <cell r="M41">
            <v>75.3</v>
          </cell>
          <cell r="N41">
            <v>75.3</v>
          </cell>
          <cell r="O41">
            <v>80.02</v>
          </cell>
        </row>
        <row r="42">
          <cell r="A42" t="str">
            <v>00390</v>
          </cell>
          <cell r="B42">
            <v>78900016</v>
          </cell>
          <cell r="C42">
            <v>36892</v>
          </cell>
          <cell r="D42">
            <v>37256</v>
          </cell>
          <cell r="E42">
            <v>58.7800000000002</v>
          </cell>
          <cell r="F42">
            <v>5472.88</v>
          </cell>
          <cell r="G42">
            <v>2266.3200000000002</v>
          </cell>
          <cell r="H42">
            <v>998.29</v>
          </cell>
          <cell r="I42">
            <v>1457.29</v>
          </cell>
          <cell r="J42">
            <v>10194.780000000001</v>
          </cell>
          <cell r="K42">
            <v>10194.780000000001</v>
          </cell>
          <cell r="L42">
            <v>3654.1</v>
          </cell>
          <cell r="M42">
            <v>23.86</v>
          </cell>
          <cell r="N42">
            <v>23.86</v>
          </cell>
          <cell r="O42">
            <v>38.909999999999997</v>
          </cell>
        </row>
        <row r="43">
          <cell r="A43" t="str">
            <v>00400</v>
          </cell>
          <cell r="B43">
            <v>78900017</v>
          </cell>
          <cell r="C43">
            <v>36892</v>
          </cell>
          <cell r="D43">
            <v>37256</v>
          </cell>
          <cell r="E43">
            <v>60.920000000000073</v>
          </cell>
          <cell r="F43">
            <v>5201.09</v>
          </cell>
          <cell r="G43">
            <v>2720.15</v>
          </cell>
          <cell r="H43">
            <v>1301.95</v>
          </cell>
          <cell r="I43">
            <v>1865.89</v>
          </cell>
          <cell r="J43">
            <v>11089.08</v>
          </cell>
          <cell r="K43">
            <v>11089.08</v>
          </cell>
          <cell r="L43">
            <v>3222.6</v>
          </cell>
          <cell r="M43">
            <v>31.74</v>
          </cell>
          <cell r="N43">
            <v>31.74</v>
          </cell>
          <cell r="O43">
            <v>49.82</v>
          </cell>
        </row>
        <row r="44">
          <cell r="A44" t="str">
            <v>00410</v>
          </cell>
          <cell r="B44">
            <v>78900018</v>
          </cell>
          <cell r="C44">
            <v>36892</v>
          </cell>
          <cell r="D44">
            <v>37256</v>
          </cell>
          <cell r="E44">
            <v>43.829999999999927</v>
          </cell>
          <cell r="F44">
            <v>2694.9</v>
          </cell>
          <cell r="G44">
            <v>2919.04</v>
          </cell>
          <cell r="H44">
            <v>1629.2</v>
          </cell>
          <cell r="I44">
            <v>936.32</v>
          </cell>
          <cell r="J44">
            <v>8179.46</v>
          </cell>
          <cell r="K44">
            <v>8179.46</v>
          </cell>
          <cell r="L44">
            <v>1063.6199999999999</v>
          </cell>
          <cell r="M44">
            <v>41</v>
          </cell>
          <cell r="N44">
            <v>41</v>
          </cell>
          <cell r="O44">
            <v>25</v>
          </cell>
        </row>
        <row r="45">
          <cell r="A45" t="str">
            <v>00420</v>
          </cell>
          <cell r="B45">
            <v>78900019</v>
          </cell>
          <cell r="C45">
            <v>36892</v>
          </cell>
          <cell r="D45">
            <v>37256</v>
          </cell>
          <cell r="E45">
            <v>44.23</v>
          </cell>
          <cell r="F45">
            <v>4361.5</v>
          </cell>
          <cell r="G45">
            <v>1632.57</v>
          </cell>
          <cell r="H45">
            <v>698.8</v>
          </cell>
          <cell r="I45">
            <v>4048.64</v>
          </cell>
          <cell r="J45">
            <v>10741.51</v>
          </cell>
          <cell r="K45">
            <v>10741.51</v>
          </cell>
          <cell r="L45">
            <v>3041.23</v>
          </cell>
          <cell r="M45">
            <v>16.579999999999998</v>
          </cell>
          <cell r="N45">
            <v>16.579999999999998</v>
          </cell>
          <cell r="O45">
            <v>108.1</v>
          </cell>
        </row>
        <row r="46">
          <cell r="A46" t="str">
            <v>00430</v>
          </cell>
          <cell r="B46">
            <v>78900020</v>
          </cell>
          <cell r="C46">
            <v>36892</v>
          </cell>
          <cell r="D46">
            <v>37256</v>
          </cell>
          <cell r="E46">
            <v>58.7800000000002</v>
          </cell>
          <cell r="F46">
            <v>7772.15</v>
          </cell>
          <cell r="G46">
            <v>4162.82</v>
          </cell>
          <cell r="H46">
            <v>2363.5300000000002</v>
          </cell>
          <cell r="I46">
            <v>3817.55</v>
          </cell>
          <cell r="J46">
            <v>18116.05</v>
          </cell>
          <cell r="K46">
            <v>18116.05</v>
          </cell>
          <cell r="L46">
            <v>6409.68</v>
          </cell>
          <cell r="M46">
            <v>59.67</v>
          </cell>
          <cell r="N46">
            <v>59.67</v>
          </cell>
          <cell r="O46">
            <v>101.93</v>
          </cell>
        </row>
        <row r="47">
          <cell r="A47" t="str">
            <v>00440</v>
          </cell>
          <cell r="B47">
            <v>78900021</v>
          </cell>
          <cell r="C47">
            <v>36892</v>
          </cell>
          <cell r="D47">
            <v>37256</v>
          </cell>
          <cell r="E47">
            <v>70.329999999999927</v>
          </cell>
          <cell r="F47">
            <v>9028.07</v>
          </cell>
          <cell r="G47">
            <v>4159.13</v>
          </cell>
          <cell r="H47">
            <v>2236.46</v>
          </cell>
          <cell r="I47">
            <v>2507.46</v>
          </cell>
          <cell r="J47">
            <v>17931.12</v>
          </cell>
          <cell r="K47">
            <v>17931.12</v>
          </cell>
          <cell r="L47">
            <v>7344.05</v>
          </cell>
          <cell r="M47">
            <v>55.88</v>
          </cell>
          <cell r="N47">
            <v>55.88</v>
          </cell>
          <cell r="O47">
            <v>66.95</v>
          </cell>
        </row>
        <row r="48">
          <cell r="A48" t="str">
            <v>00450</v>
          </cell>
          <cell r="B48">
            <v>78900022</v>
          </cell>
          <cell r="C48">
            <v>36892</v>
          </cell>
          <cell r="D48">
            <v>37256</v>
          </cell>
          <cell r="E48">
            <v>55.320000000000164</v>
          </cell>
          <cell r="F48">
            <v>4083.86</v>
          </cell>
          <cell r="G48">
            <v>2316.39</v>
          </cell>
          <cell r="H48">
            <v>1071.6099999999999</v>
          </cell>
          <cell r="I48">
            <v>2695.1</v>
          </cell>
          <cell r="J48">
            <v>10166.959999999999</v>
          </cell>
          <cell r="K48">
            <v>10166.959999999999</v>
          </cell>
          <cell r="L48">
            <v>2160.4</v>
          </cell>
          <cell r="M48">
            <v>25.92</v>
          </cell>
          <cell r="N48">
            <v>25.92</v>
          </cell>
          <cell r="O48">
            <v>71.959999999999994</v>
          </cell>
        </row>
        <row r="49">
          <cell r="A49" t="str">
            <v>00460</v>
          </cell>
          <cell r="B49">
            <v>78900601</v>
          </cell>
          <cell r="C49">
            <v>36892</v>
          </cell>
          <cell r="D49">
            <v>37103</v>
          </cell>
          <cell r="E49">
            <v>198.8</v>
          </cell>
          <cell r="F49">
            <v>0</v>
          </cell>
          <cell r="G49">
            <v>0</v>
          </cell>
          <cell r="H49">
            <v>0</v>
          </cell>
          <cell r="I49">
            <v>524.33000000000004</v>
          </cell>
          <cell r="J49">
            <v>524.33000000000004</v>
          </cell>
          <cell r="K49">
            <v>524.33000000000004</v>
          </cell>
          <cell r="L49">
            <v>0</v>
          </cell>
          <cell r="M49">
            <v>0</v>
          </cell>
          <cell r="N49">
            <v>0</v>
          </cell>
          <cell r="O49">
            <v>14</v>
          </cell>
        </row>
        <row r="50">
          <cell r="A50" t="str">
            <v>00460</v>
          </cell>
          <cell r="B50">
            <v>78900601</v>
          </cell>
          <cell r="C50">
            <v>37104</v>
          </cell>
          <cell r="D50">
            <v>37225</v>
          </cell>
          <cell r="E50">
            <v>198.8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>00460</v>
          </cell>
          <cell r="B51">
            <v>78900601</v>
          </cell>
          <cell r="C51">
            <v>37226</v>
          </cell>
          <cell r="D51">
            <v>37256</v>
          </cell>
          <cell r="E51">
            <v>198.8</v>
          </cell>
          <cell r="F51">
            <v>0</v>
          </cell>
          <cell r="G51">
            <v>0</v>
          </cell>
          <cell r="H51">
            <v>0</v>
          </cell>
          <cell r="I51">
            <v>18.73</v>
          </cell>
          <cell r="J51">
            <v>18.73</v>
          </cell>
          <cell r="K51">
            <v>18.73</v>
          </cell>
          <cell r="L51">
            <v>0</v>
          </cell>
          <cell r="M51">
            <v>0</v>
          </cell>
          <cell r="N51">
            <v>0</v>
          </cell>
          <cell r="O51">
            <v>0.5</v>
          </cell>
        </row>
        <row r="52">
          <cell r="A52" t="str">
            <v>00470</v>
          </cell>
          <cell r="B52">
            <v>78900602</v>
          </cell>
          <cell r="C52">
            <v>36892</v>
          </cell>
          <cell r="D52">
            <v>37256</v>
          </cell>
          <cell r="E52">
            <v>49.800000000000182</v>
          </cell>
          <cell r="F52">
            <v>0</v>
          </cell>
          <cell r="G52">
            <v>0</v>
          </cell>
          <cell r="H52">
            <v>0</v>
          </cell>
          <cell r="I52">
            <v>898.86</v>
          </cell>
          <cell r="J52">
            <v>898.86</v>
          </cell>
          <cell r="K52">
            <v>898.86</v>
          </cell>
          <cell r="L52">
            <v>0</v>
          </cell>
          <cell r="M52">
            <v>0</v>
          </cell>
          <cell r="N52">
            <v>0</v>
          </cell>
          <cell r="O52">
            <v>24</v>
          </cell>
        </row>
        <row r="53">
          <cell r="A53" t="str">
            <v>00480</v>
          </cell>
          <cell r="B53">
            <v>79000001</v>
          </cell>
          <cell r="C53">
            <v>36892</v>
          </cell>
          <cell r="D53">
            <v>37256</v>
          </cell>
          <cell r="E53">
            <v>60.920000000000073</v>
          </cell>
          <cell r="F53">
            <v>5590.99</v>
          </cell>
          <cell r="G53">
            <v>3722.17</v>
          </cell>
          <cell r="H53">
            <v>2023.26</v>
          </cell>
          <cell r="I53">
            <v>2230.69</v>
          </cell>
          <cell r="J53">
            <v>13567.11</v>
          </cell>
          <cell r="K53">
            <v>13567.11</v>
          </cell>
          <cell r="L53">
            <v>3689.88</v>
          </cell>
          <cell r="M53">
            <v>50.66</v>
          </cell>
          <cell r="N53">
            <v>50.66</v>
          </cell>
          <cell r="O53">
            <v>59.56</v>
          </cell>
        </row>
        <row r="54">
          <cell r="A54" t="str">
            <v>00490</v>
          </cell>
          <cell r="B54">
            <v>79000002</v>
          </cell>
          <cell r="C54">
            <v>36892</v>
          </cell>
          <cell r="D54">
            <v>37011</v>
          </cell>
          <cell r="E54">
            <v>43.83</v>
          </cell>
          <cell r="F54">
            <v>2268.46</v>
          </cell>
          <cell r="G54">
            <v>292.41000000000003</v>
          </cell>
          <cell r="H54">
            <v>55.28</v>
          </cell>
          <cell r="I54">
            <v>146.81</v>
          </cell>
          <cell r="J54">
            <v>2762.96</v>
          </cell>
          <cell r="K54">
            <v>2762.96</v>
          </cell>
          <cell r="L54">
            <v>1462.325</v>
          </cell>
          <cell r="M54">
            <v>0.88</v>
          </cell>
          <cell r="N54">
            <v>0.88</v>
          </cell>
          <cell r="O54">
            <v>3.92</v>
          </cell>
        </row>
        <row r="55">
          <cell r="A55" t="str">
            <v>00490</v>
          </cell>
          <cell r="B55">
            <v>79000002</v>
          </cell>
          <cell r="C55">
            <v>37012</v>
          </cell>
          <cell r="D55">
            <v>37072</v>
          </cell>
          <cell r="E55">
            <v>43.83</v>
          </cell>
          <cell r="F55">
            <v>78.22</v>
          </cell>
          <cell r="G55">
            <v>124.95</v>
          </cell>
          <cell r="H55">
            <v>11.05</v>
          </cell>
          <cell r="I55">
            <v>0</v>
          </cell>
          <cell r="J55">
            <v>214.22</v>
          </cell>
          <cell r="K55">
            <v>214.22</v>
          </cell>
          <cell r="L55">
            <v>50.424999999999997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>00490</v>
          </cell>
          <cell r="B56">
            <v>79000002</v>
          </cell>
          <cell r="C56">
            <v>37073</v>
          </cell>
          <cell r="D56">
            <v>37256</v>
          </cell>
          <cell r="E56">
            <v>43.83</v>
          </cell>
          <cell r="F56">
            <v>1564.47</v>
          </cell>
          <cell r="G56">
            <v>694.67</v>
          </cell>
          <cell r="H56">
            <v>262.07</v>
          </cell>
          <cell r="I56">
            <v>411.98</v>
          </cell>
          <cell r="J56">
            <v>2933.19</v>
          </cell>
          <cell r="K56">
            <v>2933.19</v>
          </cell>
          <cell r="L56">
            <v>1008.5</v>
          </cell>
          <cell r="M56">
            <v>6</v>
          </cell>
          <cell r="N56">
            <v>6</v>
          </cell>
          <cell r="O56">
            <v>11</v>
          </cell>
        </row>
        <row r="57">
          <cell r="A57" t="str">
            <v>00500</v>
          </cell>
          <cell r="B57">
            <v>79000003</v>
          </cell>
          <cell r="C57">
            <v>36892</v>
          </cell>
          <cell r="D57">
            <v>37256</v>
          </cell>
          <cell r="E57">
            <v>44.23</v>
          </cell>
          <cell r="F57">
            <v>3022.92</v>
          </cell>
          <cell r="G57">
            <v>3032.84</v>
          </cell>
          <cell r="H57">
            <v>1706.81</v>
          </cell>
          <cell r="I57">
            <v>2689.11</v>
          </cell>
          <cell r="J57">
            <v>10451.68</v>
          </cell>
          <cell r="K57">
            <v>10451.68</v>
          </cell>
          <cell r="L57">
            <v>1436.99</v>
          </cell>
          <cell r="M57">
            <v>43.02</v>
          </cell>
          <cell r="N57">
            <v>43.02</v>
          </cell>
          <cell r="O57">
            <v>71.8</v>
          </cell>
        </row>
        <row r="58">
          <cell r="A58" t="str">
            <v>00510</v>
          </cell>
          <cell r="B58">
            <v>79000004</v>
          </cell>
          <cell r="C58">
            <v>36892</v>
          </cell>
          <cell r="D58">
            <v>37256</v>
          </cell>
          <cell r="E58">
            <v>58.7800000000002</v>
          </cell>
          <cell r="F58">
            <v>3189.21</v>
          </cell>
          <cell r="G58">
            <v>3631.63</v>
          </cell>
          <cell r="H58">
            <v>1981.14</v>
          </cell>
          <cell r="I58">
            <v>2895.84</v>
          </cell>
          <cell r="J58">
            <v>11697.82</v>
          </cell>
          <cell r="K58">
            <v>11697.82</v>
          </cell>
          <cell r="L58">
            <v>917.19</v>
          </cell>
          <cell r="M58">
            <v>49.64</v>
          </cell>
          <cell r="N58">
            <v>49.64</v>
          </cell>
          <cell r="O58">
            <v>77.319999999999993</v>
          </cell>
        </row>
        <row r="59">
          <cell r="A59" t="str">
            <v>00520</v>
          </cell>
          <cell r="B59">
            <v>79000005</v>
          </cell>
          <cell r="C59">
            <v>36892</v>
          </cell>
          <cell r="D59">
            <v>37256</v>
          </cell>
          <cell r="E59">
            <v>60.920000000000073</v>
          </cell>
          <cell r="F59">
            <v>7698.45</v>
          </cell>
          <cell r="G59">
            <v>3740.69</v>
          </cell>
          <cell r="H59">
            <v>2036.6</v>
          </cell>
          <cell r="I59">
            <v>4132.8999999999996</v>
          </cell>
          <cell r="J59">
            <v>17608.64</v>
          </cell>
          <cell r="K59">
            <v>17608.64</v>
          </cell>
          <cell r="L59">
            <v>6215.6</v>
          </cell>
          <cell r="M59">
            <v>51.01</v>
          </cell>
          <cell r="N59">
            <v>51.01</v>
          </cell>
          <cell r="O59">
            <v>110.35</v>
          </cell>
        </row>
        <row r="60">
          <cell r="A60" t="str">
            <v>00530</v>
          </cell>
          <cell r="B60">
            <v>79000006</v>
          </cell>
          <cell r="C60">
            <v>36892</v>
          </cell>
          <cell r="D60">
            <v>37256</v>
          </cell>
          <cell r="E60">
            <v>43.829999999999927</v>
          </cell>
          <cell r="F60">
            <v>4379.34</v>
          </cell>
          <cell r="G60">
            <v>7063.17</v>
          </cell>
          <cell r="H60">
            <v>4612.4399999999996</v>
          </cell>
          <cell r="I60">
            <v>4536.28</v>
          </cell>
          <cell r="J60">
            <v>20591.23</v>
          </cell>
          <cell r="K60">
            <v>20591.23</v>
          </cell>
          <cell r="L60">
            <v>3082.37</v>
          </cell>
          <cell r="M60">
            <v>119.25</v>
          </cell>
          <cell r="N60">
            <v>119.25</v>
          </cell>
          <cell r="O60">
            <v>121.12</v>
          </cell>
        </row>
        <row r="61">
          <cell r="A61" t="str">
            <v>00540</v>
          </cell>
          <cell r="B61">
            <v>79000007</v>
          </cell>
          <cell r="C61">
            <v>36892</v>
          </cell>
          <cell r="D61">
            <v>37256</v>
          </cell>
          <cell r="E61">
            <v>44.23</v>
          </cell>
          <cell r="F61">
            <v>3750.32</v>
          </cell>
          <cell r="G61">
            <v>1746.44</v>
          </cell>
          <cell r="H61">
            <v>780.78</v>
          </cell>
          <cell r="I61">
            <v>1536.31</v>
          </cell>
          <cell r="J61">
            <v>7813.85</v>
          </cell>
          <cell r="K61">
            <v>7813.85</v>
          </cell>
          <cell r="L61">
            <v>2308.7399999999998</v>
          </cell>
          <cell r="M61">
            <v>18.73</v>
          </cell>
          <cell r="N61">
            <v>18.73</v>
          </cell>
          <cell r="O61">
            <v>41.02</v>
          </cell>
        </row>
        <row r="62">
          <cell r="A62" t="str">
            <v>00550</v>
          </cell>
          <cell r="B62">
            <v>79000008</v>
          </cell>
          <cell r="C62">
            <v>36892</v>
          </cell>
          <cell r="D62">
            <v>37256</v>
          </cell>
          <cell r="E62">
            <v>58.7800000000002</v>
          </cell>
          <cell r="F62">
            <v>5723.41</v>
          </cell>
          <cell r="G62">
            <v>1699.11</v>
          </cell>
          <cell r="H62">
            <v>589.97</v>
          </cell>
          <cell r="I62">
            <v>1475.26</v>
          </cell>
          <cell r="J62">
            <v>9487.75</v>
          </cell>
          <cell r="K62">
            <v>9487.75</v>
          </cell>
          <cell r="L62">
            <v>3954.34</v>
          </cell>
          <cell r="M62">
            <v>13.15</v>
          </cell>
          <cell r="N62">
            <v>13.15</v>
          </cell>
          <cell r="O62">
            <v>39.39</v>
          </cell>
        </row>
        <row r="63">
          <cell r="A63" t="str">
            <v>00560</v>
          </cell>
          <cell r="B63">
            <v>79000009</v>
          </cell>
          <cell r="C63">
            <v>36892</v>
          </cell>
          <cell r="D63">
            <v>37256</v>
          </cell>
          <cell r="E63">
            <v>60.920000000000073</v>
          </cell>
          <cell r="F63">
            <v>5748.72</v>
          </cell>
          <cell r="G63">
            <v>7433.08</v>
          </cell>
          <cell r="H63">
            <v>4694.6400000000003</v>
          </cell>
          <cell r="I63">
            <v>4416.42</v>
          </cell>
          <cell r="J63">
            <v>22292.86</v>
          </cell>
          <cell r="K63">
            <v>22292.86</v>
          </cell>
          <cell r="L63">
            <v>3878.92</v>
          </cell>
          <cell r="M63">
            <v>120.73</v>
          </cell>
          <cell r="N63">
            <v>120.73</v>
          </cell>
          <cell r="O63">
            <v>117.92</v>
          </cell>
        </row>
        <row r="64">
          <cell r="A64" t="str">
            <v>00570</v>
          </cell>
          <cell r="B64">
            <v>79000010</v>
          </cell>
          <cell r="C64">
            <v>36892</v>
          </cell>
          <cell r="D64">
            <v>37256</v>
          </cell>
          <cell r="E64">
            <v>43.829999999999927</v>
          </cell>
          <cell r="F64">
            <v>4340.83</v>
          </cell>
          <cell r="G64">
            <v>3339.54</v>
          </cell>
          <cell r="H64">
            <v>1931.91</v>
          </cell>
          <cell r="I64">
            <v>1915.33</v>
          </cell>
          <cell r="J64">
            <v>11527.61</v>
          </cell>
          <cell r="K64">
            <v>11527.61</v>
          </cell>
          <cell r="L64">
            <v>3036.21</v>
          </cell>
          <cell r="M64">
            <v>48.94</v>
          </cell>
          <cell r="N64">
            <v>48.94</v>
          </cell>
          <cell r="O64">
            <v>51.14</v>
          </cell>
        </row>
        <row r="65">
          <cell r="A65" t="str">
            <v>00580</v>
          </cell>
          <cell r="B65">
            <v>79000011</v>
          </cell>
          <cell r="C65">
            <v>36892</v>
          </cell>
          <cell r="D65">
            <v>37256</v>
          </cell>
          <cell r="E65">
            <v>44.329999999999927</v>
          </cell>
          <cell r="F65">
            <v>2151.61</v>
          </cell>
          <cell r="G65">
            <v>1502.94</v>
          </cell>
          <cell r="H65">
            <v>604.41</v>
          </cell>
          <cell r="I65">
            <v>765.91</v>
          </cell>
          <cell r="J65">
            <v>5024.87</v>
          </cell>
          <cell r="K65">
            <v>5024.87</v>
          </cell>
          <cell r="L65">
            <v>387.8</v>
          </cell>
          <cell r="M65">
            <v>14.1</v>
          </cell>
          <cell r="N65">
            <v>14.1</v>
          </cell>
          <cell r="O65">
            <v>20.45</v>
          </cell>
        </row>
        <row r="66">
          <cell r="A66" t="str">
            <v>00590</v>
          </cell>
          <cell r="B66">
            <v>79000012</v>
          </cell>
          <cell r="C66">
            <v>36892</v>
          </cell>
          <cell r="D66">
            <v>37256</v>
          </cell>
          <cell r="E66">
            <v>58.7800000000002</v>
          </cell>
          <cell r="F66">
            <v>3662.69</v>
          </cell>
          <cell r="G66">
            <v>3214.83</v>
          </cell>
          <cell r="H66">
            <v>1681.11</v>
          </cell>
          <cell r="I66">
            <v>2218.3200000000002</v>
          </cell>
          <cell r="J66">
            <v>10776.95</v>
          </cell>
          <cell r="K66">
            <v>10776.95</v>
          </cell>
          <cell r="L66">
            <v>1484.65</v>
          </cell>
          <cell r="M66">
            <v>41.77</v>
          </cell>
          <cell r="N66">
            <v>41.77</v>
          </cell>
          <cell r="O66">
            <v>59.23</v>
          </cell>
        </row>
        <row r="67">
          <cell r="A67" t="str">
            <v>00600</v>
          </cell>
          <cell r="B67">
            <v>79000013</v>
          </cell>
          <cell r="C67">
            <v>36892</v>
          </cell>
          <cell r="D67">
            <v>37256</v>
          </cell>
          <cell r="E67">
            <v>60.920000000000073</v>
          </cell>
          <cell r="F67">
            <v>11192.45</v>
          </cell>
          <cell r="G67">
            <v>2991.83</v>
          </cell>
          <cell r="H67">
            <v>1497.52</v>
          </cell>
          <cell r="I67">
            <v>2496.6</v>
          </cell>
          <cell r="J67">
            <v>18178.400000000001</v>
          </cell>
          <cell r="K67">
            <v>18178.400000000001</v>
          </cell>
          <cell r="L67">
            <v>10403.040000000001</v>
          </cell>
          <cell r="M67">
            <v>36.869999999999997</v>
          </cell>
          <cell r="N67">
            <v>36.869999999999997</v>
          </cell>
          <cell r="O67">
            <v>66.66</v>
          </cell>
        </row>
        <row r="68">
          <cell r="A68" t="str">
            <v>00610</v>
          </cell>
          <cell r="B68">
            <v>79000014</v>
          </cell>
          <cell r="C68">
            <v>36892</v>
          </cell>
          <cell r="D68">
            <v>37256</v>
          </cell>
          <cell r="E68">
            <v>43.829999999999927</v>
          </cell>
          <cell r="F68">
            <v>1863.67</v>
          </cell>
          <cell r="G68">
            <v>1635.29</v>
          </cell>
          <cell r="H68">
            <v>705.05</v>
          </cell>
          <cell r="I68">
            <v>4130.66</v>
          </cell>
          <cell r="J68">
            <v>8334.67</v>
          </cell>
          <cell r="K68">
            <v>8334.67</v>
          </cell>
          <cell r="L68">
            <v>67.430000000000007</v>
          </cell>
          <cell r="M68">
            <v>16.760000000000002</v>
          </cell>
          <cell r="N68">
            <v>16.760000000000002</v>
          </cell>
          <cell r="O68">
            <v>110.29</v>
          </cell>
        </row>
        <row r="69">
          <cell r="A69" t="str">
            <v>00620</v>
          </cell>
          <cell r="B69">
            <v>79000015</v>
          </cell>
          <cell r="C69">
            <v>36892</v>
          </cell>
          <cell r="D69">
            <v>37256</v>
          </cell>
          <cell r="E69">
            <v>44.23</v>
          </cell>
          <cell r="F69">
            <v>7582.03</v>
          </cell>
          <cell r="G69">
            <v>5388.5</v>
          </cell>
          <cell r="H69">
            <v>3402.6</v>
          </cell>
          <cell r="I69">
            <v>1494.74</v>
          </cell>
          <cell r="J69">
            <v>17867.87</v>
          </cell>
          <cell r="K69">
            <v>17867.87</v>
          </cell>
          <cell r="L69">
            <v>6900.9</v>
          </cell>
          <cell r="M69">
            <v>87.5</v>
          </cell>
          <cell r="N69">
            <v>87.5</v>
          </cell>
          <cell r="O69">
            <v>39.909999999999997</v>
          </cell>
        </row>
        <row r="70">
          <cell r="A70" t="str">
            <v>00630</v>
          </cell>
          <cell r="B70">
            <v>79000016</v>
          </cell>
          <cell r="C70">
            <v>36892</v>
          </cell>
          <cell r="D70">
            <v>37256</v>
          </cell>
          <cell r="E70">
            <v>58.7800000000002</v>
          </cell>
          <cell r="F70">
            <v>2837.87</v>
          </cell>
          <cell r="G70">
            <v>5224.68</v>
          </cell>
          <cell r="H70">
            <v>3127.93</v>
          </cell>
          <cell r="I70">
            <v>3117.93</v>
          </cell>
          <cell r="J70">
            <v>14308.41</v>
          </cell>
          <cell r="K70">
            <v>14308.41</v>
          </cell>
          <cell r="L70">
            <v>496.12</v>
          </cell>
          <cell r="M70">
            <v>79.72</v>
          </cell>
          <cell r="N70">
            <v>79.72</v>
          </cell>
          <cell r="O70">
            <v>83.25</v>
          </cell>
        </row>
        <row r="71">
          <cell r="A71" t="str">
            <v>00640</v>
          </cell>
          <cell r="B71">
            <v>79000017</v>
          </cell>
          <cell r="C71">
            <v>36892</v>
          </cell>
          <cell r="D71">
            <v>37256</v>
          </cell>
          <cell r="E71">
            <v>60.920000000000073</v>
          </cell>
          <cell r="F71">
            <v>2594.3200000000002</v>
          </cell>
          <cell r="G71">
            <v>1422.63</v>
          </cell>
          <cell r="H71">
            <v>367.89</v>
          </cell>
          <cell r="I71">
            <v>748.68</v>
          </cell>
          <cell r="J71">
            <v>5133.5200000000004</v>
          </cell>
          <cell r="K71">
            <v>5133.5200000000004</v>
          </cell>
          <cell r="L71">
            <v>98.48</v>
          </cell>
          <cell r="M71">
            <v>7.24</v>
          </cell>
          <cell r="N71">
            <v>7.24</v>
          </cell>
          <cell r="O71">
            <v>19.989999999999998</v>
          </cell>
        </row>
        <row r="72">
          <cell r="A72" t="str">
            <v>00650</v>
          </cell>
          <cell r="B72">
            <v>79000018</v>
          </cell>
          <cell r="C72">
            <v>36892</v>
          </cell>
          <cell r="D72">
            <v>37256</v>
          </cell>
          <cell r="E72">
            <v>43.829999999999927</v>
          </cell>
          <cell r="F72">
            <v>4539.37</v>
          </cell>
          <cell r="G72">
            <v>2960.87</v>
          </cell>
          <cell r="H72">
            <v>1659.31</v>
          </cell>
          <cell r="I72">
            <v>1305.23</v>
          </cell>
          <cell r="J72">
            <v>10464.780000000001</v>
          </cell>
          <cell r="K72">
            <v>10464.780000000001</v>
          </cell>
          <cell r="L72">
            <v>3274.16</v>
          </cell>
          <cell r="M72">
            <v>41.79</v>
          </cell>
          <cell r="N72">
            <v>41.79</v>
          </cell>
          <cell r="O72">
            <v>34.85</v>
          </cell>
        </row>
        <row r="73">
          <cell r="A73" t="str">
            <v>00660</v>
          </cell>
          <cell r="B73">
            <v>79000019</v>
          </cell>
          <cell r="C73">
            <v>36892</v>
          </cell>
          <cell r="D73">
            <v>37256</v>
          </cell>
          <cell r="E73">
            <v>44.229999999999563</v>
          </cell>
          <cell r="F73">
            <v>4683.3599999999997</v>
          </cell>
          <cell r="G73">
            <v>2277.1</v>
          </cell>
          <cell r="H73">
            <v>1162.79</v>
          </cell>
          <cell r="I73">
            <v>892.87</v>
          </cell>
          <cell r="J73">
            <v>9016.1200000000008</v>
          </cell>
          <cell r="K73">
            <v>9016.1200000000008</v>
          </cell>
          <cell r="L73">
            <v>3426.96</v>
          </cell>
          <cell r="M73">
            <v>28.75</v>
          </cell>
          <cell r="N73">
            <v>28.75</v>
          </cell>
          <cell r="O73">
            <v>23.84</v>
          </cell>
        </row>
        <row r="74">
          <cell r="A74" t="str">
            <v>00670</v>
          </cell>
          <cell r="B74">
            <v>79000020</v>
          </cell>
          <cell r="C74">
            <v>36892</v>
          </cell>
          <cell r="D74">
            <v>37256</v>
          </cell>
          <cell r="E74">
            <v>58.779999999999745</v>
          </cell>
          <cell r="F74">
            <v>6411.5</v>
          </cell>
          <cell r="G74">
            <v>1513.76</v>
          </cell>
          <cell r="H74">
            <v>456.54</v>
          </cell>
          <cell r="I74">
            <v>1075.6400000000001</v>
          </cell>
          <cell r="J74">
            <v>9457.44</v>
          </cell>
          <cell r="K74">
            <v>9457.44</v>
          </cell>
          <cell r="L74">
            <v>4778.99</v>
          </cell>
          <cell r="M74">
            <v>9.65</v>
          </cell>
          <cell r="N74">
            <v>9.65</v>
          </cell>
          <cell r="O74">
            <v>28.72</v>
          </cell>
        </row>
        <row r="75">
          <cell r="A75" t="str">
            <v>00680</v>
          </cell>
          <cell r="B75">
            <v>79000021</v>
          </cell>
          <cell r="C75">
            <v>36892</v>
          </cell>
          <cell r="D75">
            <v>37256</v>
          </cell>
          <cell r="E75">
            <v>70.329999999999927</v>
          </cell>
          <cell r="F75">
            <v>14285.62</v>
          </cell>
          <cell r="G75">
            <v>6938.47</v>
          </cell>
          <cell r="H75">
            <v>4237.2299999999996</v>
          </cell>
          <cell r="I75">
            <v>4803.3100000000004</v>
          </cell>
          <cell r="J75">
            <v>30264.63</v>
          </cell>
          <cell r="K75">
            <v>30264.63</v>
          </cell>
          <cell r="L75">
            <v>13645.04</v>
          </cell>
          <cell r="M75">
            <v>108.36</v>
          </cell>
          <cell r="N75">
            <v>108.36</v>
          </cell>
          <cell r="O75">
            <v>128.25</v>
          </cell>
        </row>
        <row r="76">
          <cell r="A76" t="str">
            <v>00690</v>
          </cell>
          <cell r="B76">
            <v>79000022</v>
          </cell>
          <cell r="C76">
            <v>36892</v>
          </cell>
          <cell r="D76">
            <v>37256</v>
          </cell>
          <cell r="E76">
            <v>56.130000000000109</v>
          </cell>
          <cell r="F76">
            <v>5252.12</v>
          </cell>
          <cell r="G76">
            <v>1010.44</v>
          </cell>
          <cell r="H76">
            <v>122.78</v>
          </cell>
          <cell r="I76">
            <v>17452.96</v>
          </cell>
          <cell r="J76">
            <v>23838.3</v>
          </cell>
          <cell r="K76">
            <v>23838.3</v>
          </cell>
          <cell r="L76">
            <v>3520.49</v>
          </cell>
          <cell r="M76">
            <v>1</v>
          </cell>
          <cell r="N76">
            <v>1</v>
          </cell>
          <cell r="O76">
            <v>466</v>
          </cell>
        </row>
        <row r="77">
          <cell r="A77" t="str">
            <v>00700</v>
          </cell>
          <cell r="B77">
            <v>79000601</v>
          </cell>
          <cell r="C77">
            <v>36892</v>
          </cell>
          <cell r="D77">
            <v>37011</v>
          </cell>
          <cell r="E77">
            <v>49.1</v>
          </cell>
          <cell r="F77">
            <v>0</v>
          </cell>
          <cell r="G77">
            <v>0</v>
          </cell>
          <cell r="H77">
            <v>0</v>
          </cell>
          <cell r="I77">
            <v>147.87</v>
          </cell>
          <cell r="J77">
            <v>147.87</v>
          </cell>
          <cell r="K77">
            <v>147.87</v>
          </cell>
          <cell r="L77">
            <v>0</v>
          </cell>
          <cell r="M77">
            <v>0</v>
          </cell>
          <cell r="N77">
            <v>0</v>
          </cell>
          <cell r="O77">
            <v>3.948</v>
          </cell>
        </row>
        <row r="78">
          <cell r="A78" t="str">
            <v>00700</v>
          </cell>
          <cell r="B78">
            <v>79000601</v>
          </cell>
          <cell r="C78">
            <v>37012</v>
          </cell>
          <cell r="D78">
            <v>37256</v>
          </cell>
          <cell r="E78">
            <v>49.1</v>
          </cell>
          <cell r="F78">
            <v>0</v>
          </cell>
          <cell r="G78">
            <v>0</v>
          </cell>
          <cell r="H78">
            <v>0</v>
          </cell>
          <cell r="I78">
            <v>301.94</v>
          </cell>
          <cell r="J78">
            <v>301.94</v>
          </cell>
          <cell r="K78">
            <v>301.94</v>
          </cell>
          <cell r="L78">
            <v>0</v>
          </cell>
          <cell r="M78">
            <v>0</v>
          </cell>
          <cell r="N78">
            <v>0</v>
          </cell>
          <cell r="O78">
            <v>8.0619999999999994</v>
          </cell>
        </row>
        <row r="79">
          <cell r="A79" t="str">
            <v>00710</v>
          </cell>
          <cell r="B79">
            <v>79100001</v>
          </cell>
          <cell r="C79">
            <v>36892</v>
          </cell>
          <cell r="D79">
            <v>37256</v>
          </cell>
          <cell r="E79">
            <v>59.529999999999745</v>
          </cell>
          <cell r="F79">
            <v>5486.74</v>
          </cell>
          <cell r="G79">
            <v>5106.67</v>
          </cell>
          <cell r="H79">
            <v>3034.88</v>
          </cell>
          <cell r="I79">
            <v>2543.04</v>
          </cell>
          <cell r="J79">
            <v>16171.33</v>
          </cell>
          <cell r="K79">
            <v>16171.33</v>
          </cell>
          <cell r="L79">
            <v>3633.63</v>
          </cell>
          <cell r="M79">
            <v>77.25</v>
          </cell>
          <cell r="N79">
            <v>77.25</v>
          </cell>
          <cell r="O79">
            <v>67.900000000000006</v>
          </cell>
        </row>
        <row r="80">
          <cell r="A80" t="str">
            <v>00720</v>
          </cell>
          <cell r="B80">
            <v>79100002</v>
          </cell>
          <cell r="C80">
            <v>36892</v>
          </cell>
          <cell r="D80">
            <v>37256</v>
          </cell>
          <cell r="E80">
            <v>57.800000000000182</v>
          </cell>
          <cell r="F80">
            <v>7278.4</v>
          </cell>
          <cell r="G80">
            <v>5787.87</v>
          </cell>
          <cell r="H80">
            <v>3543.92</v>
          </cell>
          <cell r="I80">
            <v>3210.82</v>
          </cell>
          <cell r="J80">
            <v>19821.009999999998</v>
          </cell>
          <cell r="K80">
            <v>19821.009999999998</v>
          </cell>
          <cell r="L80">
            <v>5866.38</v>
          </cell>
          <cell r="M80">
            <v>90.67</v>
          </cell>
          <cell r="N80">
            <v>90.67</v>
          </cell>
          <cell r="O80">
            <v>85.73</v>
          </cell>
        </row>
        <row r="81">
          <cell r="A81" t="str">
            <v>00730</v>
          </cell>
          <cell r="B81">
            <v>79100003</v>
          </cell>
          <cell r="C81">
            <v>36892</v>
          </cell>
          <cell r="D81">
            <v>37256</v>
          </cell>
          <cell r="E81">
            <v>60.130000000000109</v>
          </cell>
          <cell r="F81">
            <v>3447.09</v>
          </cell>
          <cell r="G81">
            <v>1487.53</v>
          </cell>
          <cell r="H81">
            <v>423.11</v>
          </cell>
          <cell r="I81">
            <v>823.96</v>
          </cell>
          <cell r="J81">
            <v>6181.69</v>
          </cell>
          <cell r="K81">
            <v>6181.69</v>
          </cell>
          <cell r="L81">
            <v>1159.53</v>
          </cell>
          <cell r="M81">
            <v>8.7200000000000006</v>
          </cell>
          <cell r="N81">
            <v>8.7200000000000006</v>
          </cell>
          <cell r="O81">
            <v>22</v>
          </cell>
        </row>
        <row r="82">
          <cell r="A82" t="str">
            <v>00740</v>
          </cell>
          <cell r="B82">
            <v>79100004</v>
          </cell>
          <cell r="C82">
            <v>36892</v>
          </cell>
          <cell r="D82">
            <v>37256</v>
          </cell>
          <cell r="E82">
            <v>59.529999999999745</v>
          </cell>
          <cell r="F82">
            <v>11531.37</v>
          </cell>
          <cell r="G82">
            <v>4168.7299999999996</v>
          </cell>
          <cell r="H82">
            <v>2359.7199999999998</v>
          </cell>
          <cell r="I82">
            <v>3383.1</v>
          </cell>
          <cell r="J82">
            <v>21442.92</v>
          </cell>
          <cell r="K82">
            <v>21442.92</v>
          </cell>
          <cell r="L82">
            <v>10877.92</v>
          </cell>
          <cell r="M82">
            <v>59.54</v>
          </cell>
          <cell r="N82">
            <v>59.54</v>
          </cell>
          <cell r="O82">
            <v>90.33</v>
          </cell>
        </row>
        <row r="83">
          <cell r="A83" t="str">
            <v>00750</v>
          </cell>
          <cell r="B83">
            <v>79100005</v>
          </cell>
          <cell r="C83">
            <v>36892</v>
          </cell>
          <cell r="D83">
            <v>37256</v>
          </cell>
          <cell r="E83">
            <v>57.800000000000182</v>
          </cell>
          <cell r="F83">
            <v>2712.97</v>
          </cell>
          <cell r="G83">
            <v>1794.68</v>
          </cell>
          <cell r="H83">
            <v>669.32</v>
          </cell>
          <cell r="I83">
            <v>709.35</v>
          </cell>
          <cell r="J83">
            <v>5886.32</v>
          </cell>
          <cell r="K83">
            <v>5886.32</v>
          </cell>
          <cell r="L83">
            <v>394.87</v>
          </cell>
          <cell r="M83">
            <v>15.27</v>
          </cell>
          <cell r="N83">
            <v>15.27</v>
          </cell>
          <cell r="O83">
            <v>18.940000000000001</v>
          </cell>
        </row>
        <row r="84">
          <cell r="A84" t="str">
            <v>00760</v>
          </cell>
          <cell r="B84">
            <v>79100006</v>
          </cell>
          <cell r="C84">
            <v>36892</v>
          </cell>
          <cell r="D84">
            <v>37256</v>
          </cell>
          <cell r="E84">
            <v>60.130000000000109</v>
          </cell>
          <cell r="F84">
            <v>8995.7000000000007</v>
          </cell>
          <cell r="G84">
            <v>2611.88</v>
          </cell>
          <cell r="H84">
            <v>1232.5</v>
          </cell>
          <cell r="I84">
            <v>2019.45</v>
          </cell>
          <cell r="J84">
            <v>14859.53</v>
          </cell>
          <cell r="K84">
            <v>14859.53</v>
          </cell>
          <cell r="L84">
            <v>7809.35</v>
          </cell>
          <cell r="M84">
            <v>29.95</v>
          </cell>
          <cell r="N84">
            <v>29.95</v>
          </cell>
          <cell r="O84">
            <v>53.92</v>
          </cell>
        </row>
        <row r="85">
          <cell r="A85" t="str">
            <v>00770</v>
          </cell>
          <cell r="B85">
            <v>79100007</v>
          </cell>
          <cell r="C85">
            <v>36892</v>
          </cell>
          <cell r="D85">
            <v>37256</v>
          </cell>
          <cell r="E85">
            <v>59.529999999999745</v>
          </cell>
          <cell r="F85">
            <v>3145.09</v>
          </cell>
          <cell r="G85">
            <v>3795.36</v>
          </cell>
          <cell r="H85">
            <v>2090.94</v>
          </cell>
          <cell r="I85">
            <v>2552.41</v>
          </cell>
          <cell r="J85">
            <v>11583.8</v>
          </cell>
          <cell r="K85">
            <v>11583.8</v>
          </cell>
          <cell r="L85">
            <v>827.26</v>
          </cell>
          <cell r="M85">
            <v>52.49</v>
          </cell>
          <cell r="N85">
            <v>52.49</v>
          </cell>
          <cell r="O85">
            <v>68.150000000000006</v>
          </cell>
        </row>
        <row r="86">
          <cell r="A86" t="str">
            <v>00780</v>
          </cell>
          <cell r="B86">
            <v>79100008</v>
          </cell>
          <cell r="C86">
            <v>36892</v>
          </cell>
          <cell r="D86">
            <v>37164</v>
          </cell>
          <cell r="E86">
            <v>57.2</v>
          </cell>
          <cell r="F86">
            <v>6154.5</v>
          </cell>
          <cell r="G86">
            <v>3092.99</v>
          </cell>
          <cell r="H86">
            <v>1765.7</v>
          </cell>
          <cell r="I86">
            <v>3184.45</v>
          </cell>
          <cell r="J86">
            <v>14197.64</v>
          </cell>
          <cell r="K86">
            <v>14197.64</v>
          </cell>
          <cell r="L86">
            <v>5651.5590000000002</v>
          </cell>
          <cell r="M86">
            <v>44.622</v>
          </cell>
          <cell r="N86">
            <v>44.622</v>
          </cell>
          <cell r="O86">
            <v>85.025999999999996</v>
          </cell>
        </row>
        <row r="87">
          <cell r="A87" t="str">
            <v>00780</v>
          </cell>
          <cell r="B87">
            <v>79100008</v>
          </cell>
          <cell r="C87">
            <v>37165</v>
          </cell>
          <cell r="D87">
            <v>37256</v>
          </cell>
          <cell r="E87">
            <v>57.2</v>
          </cell>
          <cell r="F87">
            <v>3934.85</v>
          </cell>
          <cell r="G87">
            <v>1042.3499999999999</v>
          </cell>
          <cell r="H87">
            <v>595.07000000000005</v>
          </cell>
          <cell r="I87">
            <v>1073.17</v>
          </cell>
          <cell r="J87">
            <v>6645.44</v>
          </cell>
          <cell r="K87">
            <v>6645.44</v>
          </cell>
          <cell r="L87">
            <v>3613.2919999999999</v>
          </cell>
          <cell r="M87">
            <v>15.038</v>
          </cell>
          <cell r="N87">
            <v>15.038</v>
          </cell>
          <cell r="O87">
            <v>28.654</v>
          </cell>
        </row>
        <row r="88">
          <cell r="A88" t="str">
            <v>00790</v>
          </cell>
          <cell r="B88">
            <v>79100009</v>
          </cell>
          <cell r="C88">
            <v>36892</v>
          </cell>
          <cell r="D88">
            <v>37256</v>
          </cell>
          <cell r="E88">
            <v>60.130000000000109</v>
          </cell>
          <cell r="F88">
            <v>3971.34</v>
          </cell>
          <cell r="G88">
            <v>3126.65</v>
          </cell>
          <cell r="H88">
            <v>1603.07</v>
          </cell>
          <cell r="I88">
            <v>2666.63</v>
          </cell>
          <cell r="J88">
            <v>11367.69</v>
          </cell>
          <cell r="K88">
            <v>11367.69</v>
          </cell>
          <cell r="L88">
            <v>1787.83</v>
          </cell>
          <cell r="M88">
            <v>39.67</v>
          </cell>
          <cell r="N88">
            <v>39.67</v>
          </cell>
          <cell r="O88">
            <v>71.2</v>
          </cell>
        </row>
        <row r="89">
          <cell r="A89" t="str">
            <v>00800</v>
          </cell>
          <cell r="B89">
            <v>79100010</v>
          </cell>
          <cell r="C89">
            <v>36892</v>
          </cell>
          <cell r="D89">
            <v>37256</v>
          </cell>
          <cell r="E89">
            <v>59.529999999999745</v>
          </cell>
          <cell r="F89">
            <v>8283.92</v>
          </cell>
          <cell r="G89">
            <v>1823.65</v>
          </cell>
          <cell r="H89">
            <v>671.55</v>
          </cell>
          <cell r="I89">
            <v>728.46</v>
          </cell>
          <cell r="J89">
            <v>11507.58</v>
          </cell>
          <cell r="K89">
            <v>11507.58</v>
          </cell>
          <cell r="L89">
            <v>6985.97</v>
          </cell>
          <cell r="M89">
            <v>15.26</v>
          </cell>
          <cell r="N89">
            <v>15.26</v>
          </cell>
          <cell r="O89">
            <v>19.45</v>
          </cell>
        </row>
        <row r="90">
          <cell r="A90" t="str">
            <v>00810</v>
          </cell>
          <cell r="B90">
            <v>79100011</v>
          </cell>
          <cell r="C90">
            <v>36892</v>
          </cell>
          <cell r="D90">
            <v>37256</v>
          </cell>
          <cell r="E90">
            <v>57.800000000000182</v>
          </cell>
          <cell r="F90">
            <v>3118.7</v>
          </cell>
          <cell r="G90">
            <v>1831.22</v>
          </cell>
          <cell r="H90">
            <v>695.63</v>
          </cell>
          <cell r="I90">
            <v>637.07000000000005</v>
          </cell>
          <cell r="J90">
            <v>6282.62</v>
          </cell>
          <cell r="K90">
            <v>6282.62</v>
          </cell>
          <cell r="L90">
            <v>881.12</v>
          </cell>
          <cell r="M90">
            <v>15.96</v>
          </cell>
          <cell r="N90">
            <v>15.96</v>
          </cell>
          <cell r="O90">
            <v>17.010000000000002</v>
          </cell>
        </row>
        <row r="91">
          <cell r="A91" t="str">
            <v>00820</v>
          </cell>
          <cell r="B91">
            <v>79100012</v>
          </cell>
          <cell r="C91">
            <v>36892</v>
          </cell>
          <cell r="D91">
            <v>37256</v>
          </cell>
          <cell r="E91">
            <v>60.130000000000109</v>
          </cell>
          <cell r="F91">
            <v>3345.88</v>
          </cell>
          <cell r="G91">
            <v>1965.23</v>
          </cell>
          <cell r="H91">
            <v>767.01</v>
          </cell>
          <cell r="I91">
            <v>783.13</v>
          </cell>
          <cell r="J91">
            <v>6861.25</v>
          </cell>
          <cell r="K91">
            <v>6861.25</v>
          </cell>
          <cell r="L91">
            <v>1038.24</v>
          </cell>
          <cell r="M91">
            <v>17.739999999999998</v>
          </cell>
          <cell r="N91">
            <v>17.739999999999998</v>
          </cell>
          <cell r="O91">
            <v>20.91</v>
          </cell>
        </row>
        <row r="92">
          <cell r="A92" t="str">
            <v>00830</v>
          </cell>
          <cell r="B92">
            <v>79100013</v>
          </cell>
          <cell r="C92">
            <v>36892</v>
          </cell>
          <cell r="D92">
            <v>37256</v>
          </cell>
          <cell r="E92">
            <v>59.529999999999745</v>
          </cell>
          <cell r="F92">
            <v>3055.15</v>
          </cell>
          <cell r="G92">
            <v>2110.6999999999998</v>
          </cell>
          <cell r="H92">
            <v>878.19</v>
          </cell>
          <cell r="I92">
            <v>682.02</v>
          </cell>
          <cell r="J92">
            <v>6726.06</v>
          </cell>
          <cell r="K92">
            <v>6726.06</v>
          </cell>
          <cell r="L92">
            <v>719.46</v>
          </cell>
          <cell r="M92">
            <v>20.68</v>
          </cell>
          <cell r="N92">
            <v>20.68</v>
          </cell>
          <cell r="O92">
            <v>18.21</v>
          </cell>
        </row>
        <row r="93">
          <cell r="A93" t="str">
            <v>00840</v>
          </cell>
          <cell r="B93">
            <v>79100014</v>
          </cell>
          <cell r="C93">
            <v>36892</v>
          </cell>
          <cell r="D93">
            <v>37256</v>
          </cell>
          <cell r="E93">
            <v>57.800000000000182</v>
          </cell>
          <cell r="F93">
            <v>9956.99</v>
          </cell>
          <cell r="G93">
            <v>3260.09</v>
          </cell>
          <cell r="H93">
            <v>1724.23</v>
          </cell>
          <cell r="I93">
            <v>2424.31</v>
          </cell>
          <cell r="J93">
            <v>17365.62</v>
          </cell>
          <cell r="K93">
            <v>17365.62</v>
          </cell>
          <cell r="L93">
            <v>9076.57</v>
          </cell>
          <cell r="M93">
            <v>42.94</v>
          </cell>
          <cell r="N93">
            <v>42.94</v>
          </cell>
          <cell r="O93">
            <v>64.73</v>
          </cell>
        </row>
        <row r="94">
          <cell r="A94" t="str">
            <v>00850</v>
          </cell>
          <cell r="B94">
            <v>79100015</v>
          </cell>
          <cell r="C94">
            <v>36892</v>
          </cell>
          <cell r="D94">
            <v>37256</v>
          </cell>
          <cell r="E94">
            <v>60.130000000000109</v>
          </cell>
          <cell r="F94">
            <v>3198.03</v>
          </cell>
          <cell r="G94">
            <v>2928.05</v>
          </cell>
          <cell r="H94">
            <v>1460.11</v>
          </cell>
          <cell r="I94">
            <v>1823.95</v>
          </cell>
          <cell r="J94">
            <v>9410.14</v>
          </cell>
          <cell r="K94">
            <v>9410.14</v>
          </cell>
          <cell r="L94">
            <v>861.05</v>
          </cell>
          <cell r="M94">
            <v>35.92</v>
          </cell>
          <cell r="N94">
            <v>35.92</v>
          </cell>
          <cell r="O94">
            <v>48.7</v>
          </cell>
        </row>
        <row r="95">
          <cell r="A95" t="str">
            <v>00860</v>
          </cell>
          <cell r="B95">
            <v>79100016</v>
          </cell>
          <cell r="C95">
            <v>36892</v>
          </cell>
          <cell r="D95">
            <v>37256</v>
          </cell>
          <cell r="E95">
            <v>68.029999999999745</v>
          </cell>
          <cell r="F95">
            <v>8127.34</v>
          </cell>
          <cell r="G95">
            <v>2980.72</v>
          </cell>
          <cell r="H95">
            <v>1412.93</v>
          </cell>
          <cell r="I95">
            <v>1737.05</v>
          </cell>
          <cell r="J95">
            <v>14258.04</v>
          </cell>
          <cell r="K95">
            <v>14258.04</v>
          </cell>
          <cell r="L95">
            <v>6378.23</v>
          </cell>
          <cell r="M95">
            <v>34.369999999999997</v>
          </cell>
          <cell r="N95">
            <v>34.369999999999997</v>
          </cell>
          <cell r="O95">
            <v>46.38</v>
          </cell>
        </row>
        <row r="96">
          <cell r="A96" t="str">
            <v>00870</v>
          </cell>
          <cell r="B96">
            <v>79100017</v>
          </cell>
          <cell r="C96">
            <v>36892</v>
          </cell>
          <cell r="D96">
            <v>37256</v>
          </cell>
          <cell r="E96">
            <v>55.430000000000291</v>
          </cell>
          <cell r="F96">
            <v>7087.05</v>
          </cell>
          <cell r="G96">
            <v>3537.41</v>
          </cell>
          <cell r="H96">
            <v>1949.41</v>
          </cell>
          <cell r="I96">
            <v>2514.1999999999998</v>
          </cell>
          <cell r="J96">
            <v>15088.07</v>
          </cell>
          <cell r="K96">
            <v>15088.07</v>
          </cell>
          <cell r="L96">
            <v>5754.17</v>
          </cell>
          <cell r="M96">
            <v>48.94</v>
          </cell>
          <cell r="N96">
            <v>48.94</v>
          </cell>
          <cell r="O96">
            <v>67.13</v>
          </cell>
        </row>
        <row r="97">
          <cell r="A97" t="str">
            <v>02280</v>
          </cell>
          <cell r="B97">
            <v>79100101</v>
          </cell>
          <cell r="C97">
            <v>36892</v>
          </cell>
          <cell r="D97">
            <v>37011</v>
          </cell>
          <cell r="E97">
            <v>67.41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A98" t="str">
            <v>02280</v>
          </cell>
          <cell r="B98">
            <v>79100101</v>
          </cell>
          <cell r="C98">
            <v>37012</v>
          </cell>
          <cell r="D98">
            <v>37256</v>
          </cell>
          <cell r="E98">
            <v>67.41</v>
          </cell>
          <cell r="F98">
            <v>0</v>
          </cell>
          <cell r="G98">
            <v>0</v>
          </cell>
          <cell r="H98">
            <v>0</v>
          </cell>
          <cell r="I98">
            <v>6741.49</v>
          </cell>
          <cell r="J98">
            <v>6741.49</v>
          </cell>
          <cell r="K98">
            <v>6741.49</v>
          </cell>
          <cell r="L98">
            <v>0</v>
          </cell>
          <cell r="M98">
            <v>0</v>
          </cell>
          <cell r="N98">
            <v>0</v>
          </cell>
          <cell r="O98">
            <v>180</v>
          </cell>
        </row>
        <row r="99">
          <cell r="A99" t="str">
            <v>00880</v>
          </cell>
          <cell r="B99">
            <v>79200001</v>
          </cell>
          <cell r="C99">
            <v>36892</v>
          </cell>
          <cell r="D99">
            <v>37256</v>
          </cell>
          <cell r="E99">
            <v>59.529999999999745</v>
          </cell>
          <cell r="F99">
            <v>3963.55</v>
          </cell>
          <cell r="G99">
            <v>2267.9899999999998</v>
          </cell>
          <cell r="H99">
            <v>991.41</v>
          </cell>
          <cell r="I99">
            <v>1363.28</v>
          </cell>
          <cell r="J99">
            <v>8586.23</v>
          </cell>
          <cell r="K99">
            <v>8586.23</v>
          </cell>
          <cell r="L99">
            <v>1808.16</v>
          </cell>
          <cell r="M99">
            <v>23.65</v>
          </cell>
          <cell r="N99">
            <v>23.65</v>
          </cell>
          <cell r="O99">
            <v>36.4</v>
          </cell>
        </row>
        <row r="100">
          <cell r="A100" t="str">
            <v>00890</v>
          </cell>
          <cell r="B100">
            <v>79200002</v>
          </cell>
          <cell r="C100">
            <v>36892</v>
          </cell>
          <cell r="D100">
            <v>37256</v>
          </cell>
          <cell r="E100">
            <v>57.800000000000182</v>
          </cell>
          <cell r="F100">
            <v>8368.6299999999992</v>
          </cell>
          <cell r="G100">
            <v>3865.95</v>
          </cell>
          <cell r="H100">
            <v>2160.37</v>
          </cell>
          <cell r="I100">
            <v>3548.27</v>
          </cell>
          <cell r="J100">
            <v>17943.22</v>
          </cell>
          <cell r="K100">
            <v>17943.22</v>
          </cell>
          <cell r="L100">
            <v>7172.98</v>
          </cell>
          <cell r="M100">
            <v>54.38</v>
          </cell>
          <cell r="N100">
            <v>54.38</v>
          </cell>
          <cell r="O100">
            <v>94.74</v>
          </cell>
        </row>
        <row r="101">
          <cell r="A101" t="str">
            <v>00900</v>
          </cell>
          <cell r="B101">
            <v>79200003</v>
          </cell>
          <cell r="C101">
            <v>36892</v>
          </cell>
          <cell r="D101">
            <v>37256</v>
          </cell>
          <cell r="E101">
            <v>60.130000000000109</v>
          </cell>
          <cell r="F101">
            <v>11239.27</v>
          </cell>
          <cell r="G101">
            <v>2154.83</v>
          </cell>
          <cell r="H101">
            <v>903.5</v>
          </cell>
          <cell r="I101">
            <v>1109.72</v>
          </cell>
          <cell r="J101">
            <v>15407.32</v>
          </cell>
          <cell r="K101">
            <v>15407.32</v>
          </cell>
          <cell r="L101">
            <v>10498.18</v>
          </cell>
          <cell r="M101">
            <v>21.32</v>
          </cell>
          <cell r="N101">
            <v>21.32</v>
          </cell>
          <cell r="O101">
            <v>29.63</v>
          </cell>
        </row>
        <row r="102">
          <cell r="A102" t="str">
            <v>00910</v>
          </cell>
          <cell r="B102">
            <v>79200004</v>
          </cell>
          <cell r="C102">
            <v>36892</v>
          </cell>
          <cell r="D102">
            <v>37256</v>
          </cell>
          <cell r="E102">
            <v>59.529999999999745</v>
          </cell>
          <cell r="F102">
            <v>5030.3100000000004</v>
          </cell>
          <cell r="G102">
            <v>3704.27</v>
          </cell>
          <cell r="H102">
            <v>2025.36</v>
          </cell>
          <cell r="I102">
            <v>3242.66</v>
          </cell>
          <cell r="J102">
            <v>14002.6</v>
          </cell>
          <cell r="K102">
            <v>14002.6</v>
          </cell>
          <cell r="L102">
            <v>3086.63</v>
          </cell>
          <cell r="M102">
            <v>50.77</v>
          </cell>
          <cell r="N102">
            <v>50.77</v>
          </cell>
          <cell r="O102">
            <v>86.58</v>
          </cell>
        </row>
        <row r="103">
          <cell r="A103" t="str">
            <v>00920</v>
          </cell>
          <cell r="B103">
            <v>79200005</v>
          </cell>
          <cell r="C103">
            <v>36892</v>
          </cell>
          <cell r="D103">
            <v>37256</v>
          </cell>
          <cell r="E103">
            <v>57.800000000000182</v>
          </cell>
          <cell r="F103">
            <v>8041.52</v>
          </cell>
          <cell r="G103">
            <v>4204.8900000000003</v>
          </cell>
          <cell r="H103">
            <v>2404.36</v>
          </cell>
          <cell r="I103">
            <v>3076.74</v>
          </cell>
          <cell r="J103">
            <v>17727.509999999998</v>
          </cell>
          <cell r="K103">
            <v>17727.509999999998</v>
          </cell>
          <cell r="L103">
            <v>6780.94</v>
          </cell>
          <cell r="M103">
            <v>60.78</v>
          </cell>
          <cell r="N103">
            <v>60.78</v>
          </cell>
          <cell r="O103">
            <v>82.15</v>
          </cell>
        </row>
        <row r="104">
          <cell r="A104" t="str">
            <v>00930</v>
          </cell>
          <cell r="B104">
            <v>79200006</v>
          </cell>
          <cell r="C104">
            <v>36892</v>
          </cell>
          <cell r="D104">
            <v>37256</v>
          </cell>
          <cell r="E104">
            <v>60.130000000000109</v>
          </cell>
          <cell r="F104">
            <v>4504.4799999999996</v>
          </cell>
          <cell r="G104">
            <v>3250.58</v>
          </cell>
          <cell r="H104">
            <v>1692.29</v>
          </cell>
          <cell r="I104">
            <v>2480.4899999999998</v>
          </cell>
          <cell r="J104">
            <v>11927.84</v>
          </cell>
          <cell r="K104">
            <v>11927.84</v>
          </cell>
          <cell r="L104">
            <v>2426.79</v>
          </cell>
          <cell r="M104">
            <v>42.01</v>
          </cell>
          <cell r="N104">
            <v>42.01</v>
          </cell>
          <cell r="O104">
            <v>66.23</v>
          </cell>
        </row>
        <row r="105">
          <cell r="A105" t="str">
            <v>00940</v>
          </cell>
          <cell r="B105">
            <v>79200007</v>
          </cell>
          <cell r="C105">
            <v>36892</v>
          </cell>
          <cell r="D105">
            <v>37256</v>
          </cell>
          <cell r="E105">
            <v>59.529999999999745</v>
          </cell>
          <cell r="F105">
            <v>2684.36</v>
          </cell>
          <cell r="G105">
            <v>2657.26</v>
          </cell>
          <cell r="H105">
            <v>1271.6400000000001</v>
          </cell>
          <cell r="I105">
            <v>1310.84</v>
          </cell>
          <cell r="J105">
            <v>7924.1</v>
          </cell>
          <cell r="K105">
            <v>7924.1</v>
          </cell>
          <cell r="L105">
            <v>275.08</v>
          </cell>
          <cell r="M105">
            <v>31</v>
          </cell>
          <cell r="N105">
            <v>31</v>
          </cell>
          <cell r="O105">
            <v>35</v>
          </cell>
        </row>
        <row r="106">
          <cell r="A106" t="str">
            <v>00950</v>
          </cell>
          <cell r="B106">
            <v>79200008</v>
          </cell>
          <cell r="C106">
            <v>36892</v>
          </cell>
          <cell r="D106">
            <v>37256</v>
          </cell>
          <cell r="E106">
            <v>60.800000000000182</v>
          </cell>
          <cell r="F106">
            <v>4873.41</v>
          </cell>
          <cell r="G106">
            <v>2099.52</v>
          </cell>
          <cell r="H106">
            <v>856.46</v>
          </cell>
          <cell r="I106">
            <v>2097.36</v>
          </cell>
          <cell r="J106">
            <v>9926.75</v>
          </cell>
          <cell r="K106">
            <v>9926.75</v>
          </cell>
          <cell r="L106">
            <v>2835.83</v>
          </cell>
          <cell r="M106">
            <v>20.059999999999999</v>
          </cell>
          <cell r="N106">
            <v>20.059999999999999</v>
          </cell>
          <cell r="O106">
            <v>56</v>
          </cell>
        </row>
        <row r="107">
          <cell r="A107" t="str">
            <v>00960</v>
          </cell>
          <cell r="B107">
            <v>79200009</v>
          </cell>
          <cell r="C107">
            <v>36892</v>
          </cell>
          <cell r="D107">
            <v>37256</v>
          </cell>
          <cell r="E107">
            <v>60.130000000000109</v>
          </cell>
          <cell r="F107">
            <v>3730.64</v>
          </cell>
          <cell r="G107">
            <v>4371.74</v>
          </cell>
          <cell r="H107">
            <v>2499.38</v>
          </cell>
          <cell r="I107">
            <v>3098.08</v>
          </cell>
          <cell r="J107">
            <v>13699.84</v>
          </cell>
          <cell r="K107">
            <v>13699.84</v>
          </cell>
          <cell r="L107">
            <v>1499.36</v>
          </cell>
          <cell r="M107">
            <v>63.18</v>
          </cell>
          <cell r="N107">
            <v>63.18</v>
          </cell>
          <cell r="O107">
            <v>82.72</v>
          </cell>
        </row>
        <row r="108">
          <cell r="A108" t="str">
            <v>00970</v>
          </cell>
          <cell r="B108">
            <v>79200010</v>
          </cell>
          <cell r="C108">
            <v>36892</v>
          </cell>
          <cell r="D108">
            <v>37256</v>
          </cell>
          <cell r="E108">
            <v>59.829999999999927</v>
          </cell>
          <cell r="F108">
            <v>12548.12</v>
          </cell>
          <cell r="G108">
            <v>2079.8000000000002</v>
          </cell>
          <cell r="H108">
            <v>852.72</v>
          </cell>
          <cell r="I108">
            <v>1910.09</v>
          </cell>
          <cell r="J108">
            <v>17390.73</v>
          </cell>
          <cell r="K108">
            <v>17390.73</v>
          </cell>
          <cell r="L108">
            <v>12081.62</v>
          </cell>
          <cell r="M108">
            <v>20</v>
          </cell>
          <cell r="N108">
            <v>20</v>
          </cell>
          <cell r="O108">
            <v>51</v>
          </cell>
        </row>
        <row r="109">
          <cell r="A109" t="str">
            <v>00980</v>
          </cell>
          <cell r="B109">
            <v>79200011</v>
          </cell>
          <cell r="C109">
            <v>36892</v>
          </cell>
          <cell r="D109">
            <v>37256</v>
          </cell>
          <cell r="E109">
            <v>57.800000000000182</v>
          </cell>
          <cell r="F109">
            <v>5926.58</v>
          </cell>
          <cell r="G109">
            <v>1621.51</v>
          </cell>
          <cell r="H109">
            <v>544.66</v>
          </cell>
          <cell r="I109">
            <v>1161.04</v>
          </cell>
          <cell r="J109">
            <v>9253.7900000000009</v>
          </cell>
          <cell r="K109">
            <v>9253.7900000000009</v>
          </cell>
          <cell r="L109">
            <v>4246.2700000000004</v>
          </cell>
          <cell r="M109">
            <v>12</v>
          </cell>
          <cell r="N109">
            <v>12</v>
          </cell>
          <cell r="O109">
            <v>31</v>
          </cell>
        </row>
        <row r="110">
          <cell r="A110" t="str">
            <v>00990</v>
          </cell>
          <cell r="B110">
            <v>79200012</v>
          </cell>
          <cell r="C110">
            <v>36892</v>
          </cell>
          <cell r="D110">
            <v>37256</v>
          </cell>
          <cell r="E110">
            <v>60.130000000000109</v>
          </cell>
          <cell r="F110">
            <v>8865.7900000000009</v>
          </cell>
          <cell r="G110">
            <v>4812.3599999999997</v>
          </cell>
          <cell r="H110">
            <v>2816.58</v>
          </cell>
          <cell r="I110">
            <v>3845.64</v>
          </cell>
          <cell r="J110">
            <v>20340.37</v>
          </cell>
          <cell r="K110">
            <v>20340.37</v>
          </cell>
          <cell r="L110">
            <v>7653.66</v>
          </cell>
          <cell r="M110">
            <v>71.5</v>
          </cell>
          <cell r="N110">
            <v>71.5</v>
          </cell>
          <cell r="O110">
            <v>102.68</v>
          </cell>
        </row>
        <row r="111">
          <cell r="A111" t="str">
            <v>01000</v>
          </cell>
          <cell r="B111">
            <v>79200013</v>
          </cell>
          <cell r="C111">
            <v>36892</v>
          </cell>
          <cell r="D111">
            <v>37256</v>
          </cell>
          <cell r="E111">
            <v>59.529999999999745</v>
          </cell>
          <cell r="F111">
            <v>3252.94</v>
          </cell>
          <cell r="G111">
            <v>3043.86</v>
          </cell>
          <cell r="H111">
            <v>1549.94</v>
          </cell>
          <cell r="I111">
            <v>1951.28</v>
          </cell>
          <cell r="J111">
            <v>9798.02</v>
          </cell>
          <cell r="K111">
            <v>9798.02</v>
          </cell>
          <cell r="L111">
            <v>956.5</v>
          </cell>
          <cell r="M111">
            <v>38.299999999999997</v>
          </cell>
          <cell r="N111">
            <v>38.299999999999997</v>
          </cell>
          <cell r="O111">
            <v>52.1</v>
          </cell>
        </row>
        <row r="112">
          <cell r="A112" t="str">
            <v>01010</v>
          </cell>
          <cell r="B112">
            <v>79200014</v>
          </cell>
          <cell r="C112">
            <v>36892</v>
          </cell>
          <cell r="D112">
            <v>37256</v>
          </cell>
          <cell r="E112">
            <v>57.800000000000182</v>
          </cell>
          <cell r="F112">
            <v>5166.51</v>
          </cell>
          <cell r="G112">
            <v>2151.1</v>
          </cell>
          <cell r="H112">
            <v>925.9</v>
          </cell>
          <cell r="I112">
            <v>1797.73</v>
          </cell>
          <cell r="J112">
            <v>10041.24</v>
          </cell>
          <cell r="K112">
            <v>10041.24</v>
          </cell>
          <cell r="L112">
            <v>3335.36</v>
          </cell>
          <cell r="M112">
            <v>22</v>
          </cell>
          <cell r="N112">
            <v>22</v>
          </cell>
          <cell r="O112">
            <v>48</v>
          </cell>
        </row>
        <row r="113">
          <cell r="A113" t="str">
            <v>01020</v>
          </cell>
          <cell r="B113">
            <v>79200015</v>
          </cell>
          <cell r="C113">
            <v>36892</v>
          </cell>
          <cell r="D113">
            <v>37256</v>
          </cell>
          <cell r="E113">
            <v>60.130000000000109</v>
          </cell>
          <cell r="F113">
            <v>2493.6</v>
          </cell>
          <cell r="G113">
            <v>1127.93</v>
          </cell>
          <cell r="H113">
            <v>164.26</v>
          </cell>
          <cell r="I113">
            <v>593.25</v>
          </cell>
          <cell r="J113">
            <v>4379.04</v>
          </cell>
          <cell r="K113">
            <v>4379.04</v>
          </cell>
          <cell r="L113">
            <v>16.809999999999999</v>
          </cell>
          <cell r="M113">
            <v>1.93</v>
          </cell>
          <cell r="N113">
            <v>1.93</v>
          </cell>
          <cell r="O113">
            <v>15.84</v>
          </cell>
        </row>
        <row r="114">
          <cell r="A114" t="str">
            <v>01030</v>
          </cell>
          <cell r="B114">
            <v>79200016</v>
          </cell>
          <cell r="C114">
            <v>36892</v>
          </cell>
          <cell r="D114">
            <v>37256</v>
          </cell>
          <cell r="E114">
            <v>68.029999999999745</v>
          </cell>
          <cell r="F114">
            <v>7979.82</v>
          </cell>
          <cell r="G114">
            <v>3199.98</v>
          </cell>
          <cell r="H114">
            <v>1570.77</v>
          </cell>
          <cell r="I114">
            <v>1855.41</v>
          </cell>
          <cell r="J114">
            <v>14605.98</v>
          </cell>
          <cell r="K114">
            <v>14605.98</v>
          </cell>
          <cell r="L114">
            <v>6201.43</v>
          </cell>
          <cell r="M114">
            <v>38.51</v>
          </cell>
          <cell r="N114">
            <v>38.51</v>
          </cell>
          <cell r="O114">
            <v>49.54</v>
          </cell>
        </row>
        <row r="115">
          <cell r="A115" t="str">
            <v>01040</v>
          </cell>
          <cell r="B115">
            <v>79200017</v>
          </cell>
          <cell r="C115">
            <v>36892</v>
          </cell>
          <cell r="D115">
            <v>37256</v>
          </cell>
          <cell r="E115">
            <v>55.430000000000291</v>
          </cell>
          <cell r="F115">
            <v>6494.48</v>
          </cell>
          <cell r="G115">
            <v>2153.0300000000002</v>
          </cell>
          <cell r="H115">
            <v>952.83</v>
          </cell>
          <cell r="I115">
            <v>1726.57</v>
          </cell>
          <cell r="J115">
            <v>11326.91</v>
          </cell>
          <cell r="K115">
            <v>11326.91</v>
          </cell>
          <cell r="L115">
            <v>5044.01</v>
          </cell>
          <cell r="M115">
            <v>22.8</v>
          </cell>
          <cell r="N115">
            <v>22.8</v>
          </cell>
          <cell r="O115">
            <v>46.1</v>
          </cell>
        </row>
        <row r="116">
          <cell r="A116" t="str">
            <v>01050</v>
          </cell>
          <cell r="B116">
            <v>79200101</v>
          </cell>
          <cell r="C116">
            <v>36892</v>
          </cell>
          <cell r="D116">
            <v>37256</v>
          </cell>
          <cell r="E116">
            <v>67.409999999999854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 t="str">
            <v>01060</v>
          </cell>
          <cell r="B117">
            <v>79300001</v>
          </cell>
          <cell r="C117">
            <v>36892</v>
          </cell>
          <cell r="D117">
            <v>37256</v>
          </cell>
          <cell r="E117">
            <v>62.5</v>
          </cell>
          <cell r="F117">
            <v>6412.19</v>
          </cell>
          <cell r="G117">
            <v>3483.78</v>
          </cell>
          <cell r="H117">
            <v>1834.64</v>
          </cell>
          <cell r="I117">
            <v>2032.18</v>
          </cell>
          <cell r="J117">
            <v>13762.79</v>
          </cell>
          <cell r="K117">
            <v>13762.79</v>
          </cell>
          <cell r="L117">
            <v>4595.97</v>
          </cell>
          <cell r="M117">
            <v>45.65</v>
          </cell>
          <cell r="N117">
            <v>45.65</v>
          </cell>
          <cell r="O117">
            <v>54.26</v>
          </cell>
        </row>
        <row r="118">
          <cell r="A118" t="str">
            <v>01070</v>
          </cell>
          <cell r="B118">
            <v>79300002</v>
          </cell>
          <cell r="C118">
            <v>36892</v>
          </cell>
          <cell r="D118">
            <v>37256</v>
          </cell>
          <cell r="E118">
            <v>79.699999999999818</v>
          </cell>
          <cell r="F118">
            <v>4945.47</v>
          </cell>
          <cell r="G118">
            <v>2652.31</v>
          </cell>
          <cell r="H118">
            <v>1050.81</v>
          </cell>
          <cell r="I118">
            <v>1828.07</v>
          </cell>
          <cell r="J118">
            <v>10476.66</v>
          </cell>
          <cell r="K118">
            <v>10476.66</v>
          </cell>
          <cell r="L118">
            <v>1988.13</v>
          </cell>
          <cell r="M118">
            <v>24.41</v>
          </cell>
          <cell r="N118">
            <v>24.41</v>
          </cell>
          <cell r="O118">
            <v>48.81</v>
          </cell>
        </row>
        <row r="119">
          <cell r="A119" t="str">
            <v>01080</v>
          </cell>
          <cell r="B119">
            <v>79300003</v>
          </cell>
          <cell r="C119">
            <v>36892</v>
          </cell>
          <cell r="D119">
            <v>37256</v>
          </cell>
          <cell r="E119">
            <v>82.630000000000109</v>
          </cell>
          <cell r="F119">
            <v>5416.48</v>
          </cell>
          <cell r="G119">
            <v>3791.68</v>
          </cell>
          <cell r="H119">
            <v>1839.44</v>
          </cell>
          <cell r="I119">
            <v>2570.38</v>
          </cell>
          <cell r="J119">
            <v>13617.98</v>
          </cell>
          <cell r="K119">
            <v>13617.98</v>
          </cell>
          <cell r="L119">
            <v>2407.81</v>
          </cell>
          <cell r="M119">
            <v>44.98</v>
          </cell>
          <cell r="N119">
            <v>44.98</v>
          </cell>
          <cell r="O119">
            <v>68.63</v>
          </cell>
        </row>
        <row r="120">
          <cell r="A120" t="str">
            <v>01090</v>
          </cell>
          <cell r="B120">
            <v>79300004</v>
          </cell>
          <cell r="C120">
            <v>36892</v>
          </cell>
          <cell r="D120">
            <v>36950</v>
          </cell>
          <cell r="E120">
            <v>65.2</v>
          </cell>
          <cell r="F120">
            <v>2043.26</v>
          </cell>
          <cell r="G120">
            <v>179.78</v>
          </cell>
          <cell r="H120">
            <v>15.89</v>
          </cell>
          <cell r="I120">
            <v>0</v>
          </cell>
          <cell r="J120">
            <v>2238.9299999999998</v>
          </cell>
          <cell r="K120">
            <v>2238.9299999999998</v>
          </cell>
          <cell r="L120">
            <v>1321</v>
          </cell>
          <cell r="M120">
            <v>0</v>
          </cell>
          <cell r="N120">
            <v>0</v>
          </cell>
          <cell r="O120">
            <v>0</v>
          </cell>
        </row>
        <row r="121">
          <cell r="A121" t="str">
            <v>01090</v>
          </cell>
          <cell r="B121">
            <v>79300004</v>
          </cell>
          <cell r="C121">
            <v>36951</v>
          </cell>
          <cell r="D121">
            <v>37256</v>
          </cell>
          <cell r="E121">
            <v>65.2</v>
          </cell>
          <cell r="F121">
            <v>3325.98</v>
          </cell>
          <cell r="G121">
            <v>1673.87</v>
          </cell>
          <cell r="H121">
            <v>616.17999999999995</v>
          </cell>
          <cell r="I121">
            <v>1109.3499999999999</v>
          </cell>
          <cell r="J121">
            <v>6725.38</v>
          </cell>
          <cell r="K121">
            <v>6725.38</v>
          </cell>
          <cell r="L121">
            <v>1891.6</v>
          </cell>
          <cell r="M121">
            <v>14</v>
          </cell>
          <cell r="N121">
            <v>14</v>
          </cell>
          <cell r="O121">
            <v>29.62</v>
          </cell>
        </row>
        <row r="122">
          <cell r="A122" t="str">
            <v>01100</v>
          </cell>
          <cell r="B122">
            <v>79300005</v>
          </cell>
          <cell r="C122">
            <v>36892</v>
          </cell>
          <cell r="D122">
            <v>37256</v>
          </cell>
          <cell r="E122">
            <v>79.699999999999818</v>
          </cell>
          <cell r="F122">
            <v>13510.6</v>
          </cell>
          <cell r="G122">
            <v>3734.29</v>
          </cell>
          <cell r="H122">
            <v>1829.7</v>
          </cell>
          <cell r="I122">
            <v>2916.44</v>
          </cell>
          <cell r="J122">
            <v>21991.03</v>
          </cell>
          <cell r="K122">
            <v>21991.03</v>
          </cell>
          <cell r="L122">
            <v>12253.14</v>
          </cell>
          <cell r="M122">
            <v>44.84</v>
          </cell>
          <cell r="N122">
            <v>44.84</v>
          </cell>
          <cell r="O122">
            <v>77.87</v>
          </cell>
        </row>
        <row r="123">
          <cell r="A123" t="str">
            <v>01110</v>
          </cell>
          <cell r="B123">
            <v>79300006</v>
          </cell>
          <cell r="C123">
            <v>36892</v>
          </cell>
          <cell r="D123">
            <v>37256</v>
          </cell>
          <cell r="E123">
            <v>82.630000000000109</v>
          </cell>
          <cell r="F123">
            <v>10829.63</v>
          </cell>
          <cell r="G123">
            <v>5507.58</v>
          </cell>
          <cell r="H123">
            <v>3074.68</v>
          </cell>
          <cell r="I123">
            <v>3477.48</v>
          </cell>
          <cell r="J123">
            <v>22889.37</v>
          </cell>
          <cell r="K123">
            <v>22889.37</v>
          </cell>
          <cell r="L123">
            <v>8895.2800000000007</v>
          </cell>
          <cell r="M123">
            <v>77.38</v>
          </cell>
          <cell r="N123">
            <v>77.38</v>
          </cell>
          <cell r="O123">
            <v>92.85</v>
          </cell>
        </row>
        <row r="124">
          <cell r="A124" t="str">
            <v>01120</v>
          </cell>
          <cell r="B124">
            <v>79300007</v>
          </cell>
          <cell r="C124">
            <v>36892</v>
          </cell>
          <cell r="D124">
            <v>37256</v>
          </cell>
          <cell r="E124">
            <v>62.5</v>
          </cell>
          <cell r="F124">
            <v>17735.77</v>
          </cell>
          <cell r="G124">
            <v>5159.9799999999996</v>
          </cell>
          <cell r="H124">
            <v>3041.27</v>
          </cell>
          <cell r="I124">
            <v>2633.68</v>
          </cell>
          <cell r="J124">
            <v>28570.7</v>
          </cell>
          <cell r="K124">
            <v>28570.7</v>
          </cell>
          <cell r="L124">
            <v>18166.88</v>
          </cell>
          <cell r="M124">
            <v>77.3</v>
          </cell>
          <cell r="N124">
            <v>77.3</v>
          </cell>
          <cell r="O124">
            <v>70.319999999999993</v>
          </cell>
        </row>
        <row r="125">
          <cell r="A125" t="str">
            <v>01130</v>
          </cell>
          <cell r="B125">
            <v>79300008</v>
          </cell>
          <cell r="C125">
            <v>36892</v>
          </cell>
          <cell r="D125">
            <v>37256</v>
          </cell>
          <cell r="E125">
            <v>79.699999999999818</v>
          </cell>
          <cell r="F125">
            <v>6853.85</v>
          </cell>
          <cell r="G125">
            <v>5543.4</v>
          </cell>
          <cell r="H125">
            <v>3132.03</v>
          </cell>
          <cell r="I125">
            <v>5655.36</v>
          </cell>
          <cell r="J125">
            <v>21184.639999999999</v>
          </cell>
          <cell r="K125">
            <v>21184.639999999999</v>
          </cell>
          <cell r="L125">
            <v>4275.25</v>
          </cell>
          <cell r="M125">
            <v>79</v>
          </cell>
          <cell r="N125">
            <v>79</v>
          </cell>
          <cell r="O125">
            <v>151</v>
          </cell>
        </row>
        <row r="126">
          <cell r="A126" t="str">
            <v>01140</v>
          </cell>
          <cell r="B126">
            <v>79300009</v>
          </cell>
          <cell r="C126">
            <v>36892</v>
          </cell>
          <cell r="D126">
            <v>37256</v>
          </cell>
          <cell r="E126">
            <v>82.630000000000109</v>
          </cell>
          <cell r="F126">
            <v>8181.75</v>
          </cell>
          <cell r="G126">
            <v>3307.09</v>
          </cell>
          <cell r="H126">
            <v>1490.61</v>
          </cell>
          <cell r="I126">
            <v>3446.77</v>
          </cell>
          <cell r="J126">
            <v>16426.22</v>
          </cell>
          <cell r="K126">
            <v>16426.22</v>
          </cell>
          <cell r="L126">
            <v>5721.89</v>
          </cell>
          <cell r="M126">
            <v>35.83</v>
          </cell>
          <cell r="N126">
            <v>35.83</v>
          </cell>
          <cell r="O126">
            <v>92.03</v>
          </cell>
        </row>
        <row r="127">
          <cell r="A127" t="str">
            <v>01150</v>
          </cell>
          <cell r="B127">
            <v>79300010</v>
          </cell>
          <cell r="C127">
            <v>36892</v>
          </cell>
          <cell r="D127">
            <v>37256</v>
          </cell>
          <cell r="E127">
            <v>65.5</v>
          </cell>
          <cell r="F127">
            <v>4549.43</v>
          </cell>
          <cell r="G127">
            <v>5463.77</v>
          </cell>
          <cell r="H127">
            <v>3227.65</v>
          </cell>
          <cell r="I127">
            <v>3000.33</v>
          </cell>
          <cell r="J127">
            <v>16241.18</v>
          </cell>
          <cell r="K127">
            <v>16241.18</v>
          </cell>
          <cell r="L127">
            <v>2215.2600000000002</v>
          </cell>
          <cell r="M127">
            <v>82.07</v>
          </cell>
          <cell r="N127">
            <v>82.07</v>
          </cell>
          <cell r="O127">
            <v>80.11</v>
          </cell>
        </row>
        <row r="128">
          <cell r="A128" t="str">
            <v>01160</v>
          </cell>
          <cell r="B128">
            <v>79300011</v>
          </cell>
          <cell r="C128">
            <v>36892</v>
          </cell>
          <cell r="D128">
            <v>37256</v>
          </cell>
          <cell r="E128">
            <v>79.699999999999818</v>
          </cell>
          <cell r="F128">
            <v>5389.03</v>
          </cell>
          <cell r="G128">
            <v>3097.7</v>
          </cell>
          <cell r="H128">
            <v>1371.44</v>
          </cell>
          <cell r="I128">
            <v>1271.1500000000001</v>
          </cell>
          <cell r="J128">
            <v>11129.32</v>
          </cell>
          <cell r="K128">
            <v>11129.32</v>
          </cell>
          <cell r="L128">
            <v>2519.73</v>
          </cell>
          <cell r="M128">
            <v>32.82</v>
          </cell>
          <cell r="N128">
            <v>32.82</v>
          </cell>
          <cell r="O128">
            <v>33.94</v>
          </cell>
        </row>
        <row r="129">
          <cell r="A129" t="str">
            <v>01170</v>
          </cell>
          <cell r="B129">
            <v>79300012</v>
          </cell>
          <cell r="C129">
            <v>36892</v>
          </cell>
          <cell r="D129">
            <v>37256</v>
          </cell>
          <cell r="E129">
            <v>82.630000000000109</v>
          </cell>
          <cell r="F129">
            <v>6691.35</v>
          </cell>
          <cell r="G129">
            <v>3739.78</v>
          </cell>
          <cell r="H129">
            <v>1802.09</v>
          </cell>
          <cell r="I129">
            <v>2546.7800000000002</v>
          </cell>
          <cell r="J129">
            <v>14780</v>
          </cell>
          <cell r="K129">
            <v>14780</v>
          </cell>
          <cell r="L129">
            <v>3935.69</v>
          </cell>
          <cell r="M129">
            <v>44</v>
          </cell>
          <cell r="N129">
            <v>44</v>
          </cell>
          <cell r="O129">
            <v>68</v>
          </cell>
        </row>
        <row r="130">
          <cell r="A130" t="str">
            <v>01180</v>
          </cell>
          <cell r="B130">
            <v>79300013</v>
          </cell>
          <cell r="C130">
            <v>36892</v>
          </cell>
          <cell r="D130">
            <v>37256</v>
          </cell>
          <cell r="E130">
            <v>105.1</v>
          </cell>
          <cell r="F130">
            <v>10834.97</v>
          </cell>
          <cell r="G130">
            <v>3903.3</v>
          </cell>
          <cell r="H130">
            <v>1677.75</v>
          </cell>
          <cell r="I130">
            <v>3443.03</v>
          </cell>
          <cell r="J130">
            <v>19859.05</v>
          </cell>
          <cell r="K130">
            <v>19859.05</v>
          </cell>
          <cell r="L130">
            <v>7791.1980000000003</v>
          </cell>
          <cell r="M130">
            <v>39.85</v>
          </cell>
          <cell r="N130">
            <v>39.85</v>
          </cell>
          <cell r="O130">
            <v>91.93</v>
          </cell>
        </row>
        <row r="131">
          <cell r="A131" t="str">
            <v>01190</v>
          </cell>
          <cell r="B131">
            <v>79300014</v>
          </cell>
          <cell r="C131">
            <v>36892</v>
          </cell>
          <cell r="D131">
            <v>37256</v>
          </cell>
          <cell r="E131">
            <v>65.729999999999563</v>
          </cell>
          <cell r="F131">
            <v>8061.21</v>
          </cell>
          <cell r="G131">
            <v>3080.77</v>
          </cell>
          <cell r="H131">
            <v>1509.73</v>
          </cell>
          <cell r="I131">
            <v>2509.33</v>
          </cell>
          <cell r="J131">
            <v>15161.04</v>
          </cell>
          <cell r="K131">
            <v>15161.04</v>
          </cell>
          <cell r="L131">
            <v>6412.63</v>
          </cell>
          <cell r="M131">
            <v>37</v>
          </cell>
          <cell r="N131">
            <v>37</v>
          </cell>
          <cell r="O131">
            <v>67</v>
          </cell>
        </row>
        <row r="132">
          <cell r="A132" t="str">
            <v>01200</v>
          </cell>
          <cell r="B132">
            <v>79300601</v>
          </cell>
          <cell r="C132">
            <v>36892</v>
          </cell>
          <cell r="D132">
            <v>37256</v>
          </cell>
          <cell r="E132">
            <v>66.5</v>
          </cell>
          <cell r="F132">
            <v>0</v>
          </cell>
          <cell r="G132">
            <v>0</v>
          </cell>
          <cell r="H132">
            <v>0</v>
          </cell>
          <cell r="I132">
            <v>1155.04</v>
          </cell>
          <cell r="J132">
            <v>1155.04</v>
          </cell>
          <cell r="K132">
            <v>1155.04</v>
          </cell>
          <cell r="L132">
            <v>0</v>
          </cell>
          <cell r="M132">
            <v>0</v>
          </cell>
          <cell r="N132">
            <v>0</v>
          </cell>
          <cell r="O132">
            <v>30.84</v>
          </cell>
        </row>
        <row r="133">
          <cell r="A133" t="str">
            <v>01210</v>
          </cell>
          <cell r="B133">
            <v>79300602</v>
          </cell>
          <cell r="C133">
            <v>36892</v>
          </cell>
          <cell r="D133">
            <v>37256</v>
          </cell>
          <cell r="E133">
            <v>214.36</v>
          </cell>
          <cell r="F133">
            <v>0</v>
          </cell>
          <cell r="G133">
            <v>0</v>
          </cell>
          <cell r="H133">
            <v>0</v>
          </cell>
          <cell r="I133">
            <v>31444.92</v>
          </cell>
          <cell r="J133">
            <v>31444.92</v>
          </cell>
          <cell r="K133">
            <v>31444.92</v>
          </cell>
          <cell r="L133">
            <v>0</v>
          </cell>
          <cell r="M133">
            <v>0</v>
          </cell>
          <cell r="N133">
            <v>0</v>
          </cell>
          <cell r="O133">
            <v>839.59</v>
          </cell>
        </row>
        <row r="134">
          <cell r="A134" t="str">
            <v>01220</v>
          </cell>
          <cell r="B134">
            <v>79400001</v>
          </cell>
          <cell r="C134">
            <v>36892</v>
          </cell>
          <cell r="D134">
            <v>37256</v>
          </cell>
          <cell r="E134">
            <v>59.529999999999745</v>
          </cell>
          <cell r="F134">
            <v>4541.79</v>
          </cell>
          <cell r="G134">
            <v>6311.5</v>
          </cell>
          <cell r="H134">
            <v>3902.22</v>
          </cell>
          <cell r="I134">
            <v>2471.88</v>
          </cell>
          <cell r="J134">
            <v>17227.39</v>
          </cell>
          <cell r="K134">
            <v>17227.39</v>
          </cell>
          <cell r="L134">
            <v>2501.15</v>
          </cell>
          <cell r="M134">
            <v>100</v>
          </cell>
          <cell r="N134">
            <v>100</v>
          </cell>
          <cell r="O134">
            <v>66</v>
          </cell>
        </row>
        <row r="135">
          <cell r="A135" t="str">
            <v>01230</v>
          </cell>
          <cell r="B135">
            <v>79400002</v>
          </cell>
          <cell r="C135">
            <v>36892</v>
          </cell>
          <cell r="D135">
            <v>37256</v>
          </cell>
          <cell r="E135">
            <v>57.199999999999818</v>
          </cell>
          <cell r="F135">
            <v>6430.59</v>
          </cell>
          <cell r="G135">
            <v>2327.2800000000002</v>
          </cell>
          <cell r="H135">
            <v>1059.2</v>
          </cell>
          <cell r="I135">
            <v>3820.17</v>
          </cell>
          <cell r="J135">
            <v>13637.24</v>
          </cell>
          <cell r="K135">
            <v>13637.24</v>
          </cell>
          <cell r="L135">
            <v>4879.97</v>
          </cell>
          <cell r="M135">
            <v>25.52</v>
          </cell>
          <cell r="N135">
            <v>25.52</v>
          </cell>
          <cell r="O135">
            <v>102</v>
          </cell>
        </row>
        <row r="136">
          <cell r="A136" t="str">
            <v>01240</v>
          </cell>
          <cell r="B136">
            <v>79400003</v>
          </cell>
          <cell r="C136">
            <v>36892</v>
          </cell>
          <cell r="D136">
            <v>37256</v>
          </cell>
          <cell r="E136">
            <v>59.630000000000109</v>
          </cell>
          <cell r="F136">
            <v>3622.81</v>
          </cell>
          <cell r="G136">
            <v>2602.29</v>
          </cell>
          <cell r="H136">
            <v>1230.99</v>
          </cell>
          <cell r="I136">
            <v>1147.93</v>
          </cell>
          <cell r="J136">
            <v>8604.02</v>
          </cell>
          <cell r="K136">
            <v>8604.02</v>
          </cell>
          <cell r="L136">
            <v>1394.84</v>
          </cell>
          <cell r="M136">
            <v>29.93</v>
          </cell>
          <cell r="N136">
            <v>29.93</v>
          </cell>
          <cell r="O136">
            <v>30.65</v>
          </cell>
        </row>
        <row r="137">
          <cell r="A137" t="str">
            <v>01250</v>
          </cell>
          <cell r="B137">
            <v>79400004</v>
          </cell>
          <cell r="C137">
            <v>36892</v>
          </cell>
          <cell r="D137">
            <v>37256</v>
          </cell>
          <cell r="E137">
            <v>59.530000000000655</v>
          </cell>
          <cell r="F137">
            <v>10441.92</v>
          </cell>
          <cell r="G137">
            <v>3682.56</v>
          </cell>
          <cell r="H137">
            <v>2009.72</v>
          </cell>
          <cell r="I137">
            <v>2725.43</v>
          </cell>
          <cell r="J137">
            <v>18859.63</v>
          </cell>
          <cell r="K137">
            <v>18859.63</v>
          </cell>
          <cell r="L137">
            <v>9572.24</v>
          </cell>
          <cell r="M137">
            <v>50.36</v>
          </cell>
          <cell r="N137">
            <v>50.36</v>
          </cell>
          <cell r="O137">
            <v>72.77</v>
          </cell>
        </row>
        <row r="138">
          <cell r="A138" t="str">
            <v>01260</v>
          </cell>
          <cell r="B138">
            <v>79400005</v>
          </cell>
          <cell r="C138">
            <v>36892</v>
          </cell>
          <cell r="D138">
            <v>37256</v>
          </cell>
          <cell r="E138">
            <v>57.200000000000728</v>
          </cell>
          <cell r="F138">
            <v>4754.38</v>
          </cell>
          <cell r="G138">
            <v>1381.95</v>
          </cell>
          <cell r="H138">
            <v>378.68</v>
          </cell>
          <cell r="I138">
            <v>498.87</v>
          </cell>
          <cell r="J138">
            <v>7013.88</v>
          </cell>
          <cell r="K138">
            <v>7013.88</v>
          </cell>
          <cell r="L138">
            <v>2871.08</v>
          </cell>
          <cell r="M138">
            <v>7.67</v>
          </cell>
          <cell r="N138">
            <v>7.67</v>
          </cell>
          <cell r="O138">
            <v>13.32</v>
          </cell>
        </row>
        <row r="139">
          <cell r="A139" t="str">
            <v>01270</v>
          </cell>
          <cell r="B139">
            <v>79400006</v>
          </cell>
          <cell r="C139">
            <v>36892</v>
          </cell>
          <cell r="D139">
            <v>37256</v>
          </cell>
          <cell r="E139">
            <v>59.6299999999992</v>
          </cell>
          <cell r="F139">
            <v>4853.3599999999997</v>
          </cell>
          <cell r="G139">
            <v>2891.98</v>
          </cell>
          <cell r="H139">
            <v>1439.53</v>
          </cell>
          <cell r="I139">
            <v>1908.59</v>
          </cell>
          <cell r="J139">
            <v>11093.46</v>
          </cell>
          <cell r="K139">
            <v>11093.46</v>
          </cell>
          <cell r="L139">
            <v>2869.62</v>
          </cell>
          <cell r="M139">
            <v>35.4</v>
          </cell>
          <cell r="N139">
            <v>35.4</v>
          </cell>
          <cell r="O139">
            <v>50.96</v>
          </cell>
        </row>
        <row r="140">
          <cell r="A140" t="str">
            <v>01280</v>
          </cell>
          <cell r="B140">
            <v>79400007</v>
          </cell>
          <cell r="C140">
            <v>36892</v>
          </cell>
          <cell r="D140">
            <v>37256</v>
          </cell>
          <cell r="E140">
            <v>59.530000000000655</v>
          </cell>
          <cell r="F140">
            <v>2688.7</v>
          </cell>
          <cell r="G140">
            <v>3354.2</v>
          </cell>
          <cell r="H140">
            <v>1773.35</v>
          </cell>
          <cell r="I140">
            <v>2969.25</v>
          </cell>
          <cell r="J140">
            <v>10785.5</v>
          </cell>
          <cell r="K140">
            <v>10785.5</v>
          </cell>
          <cell r="L140">
            <v>280.27999999999997</v>
          </cell>
          <cell r="M140">
            <v>44.16</v>
          </cell>
          <cell r="N140">
            <v>44.16</v>
          </cell>
          <cell r="O140">
            <v>79.28</v>
          </cell>
        </row>
        <row r="141">
          <cell r="A141" t="str">
            <v>01290</v>
          </cell>
          <cell r="B141">
            <v>79400008</v>
          </cell>
          <cell r="C141">
            <v>36892</v>
          </cell>
          <cell r="D141">
            <v>37256</v>
          </cell>
          <cell r="E141">
            <v>56.200000000000728</v>
          </cell>
          <cell r="F141">
            <v>2634.86</v>
          </cell>
          <cell r="G141">
            <v>2061.31</v>
          </cell>
          <cell r="H141">
            <v>878.5</v>
          </cell>
          <cell r="I141">
            <v>1450.54</v>
          </cell>
          <cell r="J141">
            <v>7025.21</v>
          </cell>
          <cell r="K141">
            <v>7025.21</v>
          </cell>
          <cell r="L141">
            <v>380.33</v>
          </cell>
          <cell r="M141">
            <v>20.82</v>
          </cell>
          <cell r="N141">
            <v>20.82</v>
          </cell>
          <cell r="O141">
            <v>38.729999999999997</v>
          </cell>
        </row>
        <row r="142">
          <cell r="A142" t="str">
            <v>01300</v>
          </cell>
          <cell r="B142">
            <v>79400009</v>
          </cell>
          <cell r="C142">
            <v>36892</v>
          </cell>
          <cell r="D142">
            <v>37256</v>
          </cell>
          <cell r="E142">
            <v>59.6299999999992</v>
          </cell>
          <cell r="F142">
            <v>4929.5600000000004</v>
          </cell>
          <cell r="G142">
            <v>4538.51</v>
          </cell>
          <cell r="H142">
            <v>2624.83</v>
          </cell>
          <cell r="I142">
            <v>2889.1</v>
          </cell>
          <cell r="J142">
            <v>14982</v>
          </cell>
          <cell r="K142">
            <v>14982</v>
          </cell>
          <cell r="L142">
            <v>2960.94</v>
          </cell>
          <cell r="M142">
            <v>66.489999999999995</v>
          </cell>
          <cell r="N142">
            <v>66.489999999999995</v>
          </cell>
          <cell r="O142">
            <v>77.14</v>
          </cell>
        </row>
        <row r="143">
          <cell r="A143" t="str">
            <v>01310</v>
          </cell>
          <cell r="B143">
            <v>79400010</v>
          </cell>
          <cell r="C143">
            <v>36892</v>
          </cell>
          <cell r="D143">
            <v>37256</v>
          </cell>
          <cell r="E143">
            <v>59.530000000000655</v>
          </cell>
          <cell r="F143">
            <v>8209.52</v>
          </cell>
          <cell r="G143">
            <v>3586.7</v>
          </cell>
          <cell r="H143">
            <v>1940.71</v>
          </cell>
          <cell r="I143">
            <v>2310.84</v>
          </cell>
          <cell r="J143">
            <v>16047.77</v>
          </cell>
          <cell r="K143">
            <v>16047.77</v>
          </cell>
          <cell r="L143">
            <v>6896.79</v>
          </cell>
          <cell r="M143">
            <v>48.55</v>
          </cell>
          <cell r="N143">
            <v>48.55</v>
          </cell>
          <cell r="O143">
            <v>61.7</v>
          </cell>
        </row>
        <row r="144">
          <cell r="A144" t="str">
            <v>01320</v>
          </cell>
          <cell r="B144">
            <v>79400011</v>
          </cell>
          <cell r="C144">
            <v>36892</v>
          </cell>
          <cell r="D144">
            <v>37256</v>
          </cell>
          <cell r="E144">
            <v>57.200000000000728</v>
          </cell>
          <cell r="F144">
            <v>4497.96</v>
          </cell>
          <cell r="G144">
            <v>3994.47</v>
          </cell>
          <cell r="H144">
            <v>2259.36</v>
          </cell>
          <cell r="I144">
            <v>3587.96</v>
          </cell>
          <cell r="J144">
            <v>14339.75</v>
          </cell>
          <cell r="K144">
            <v>14339.75</v>
          </cell>
          <cell r="L144">
            <v>2563.7800000000002</v>
          </cell>
          <cell r="M144">
            <v>57</v>
          </cell>
          <cell r="N144">
            <v>57</v>
          </cell>
          <cell r="O144">
            <v>95.8</v>
          </cell>
        </row>
        <row r="145">
          <cell r="A145" t="str">
            <v>01330</v>
          </cell>
          <cell r="B145">
            <v>79400012</v>
          </cell>
          <cell r="C145">
            <v>36892</v>
          </cell>
          <cell r="D145">
            <v>37256</v>
          </cell>
          <cell r="E145">
            <v>59.6299999999992</v>
          </cell>
          <cell r="F145">
            <v>9835.35</v>
          </cell>
          <cell r="G145">
            <v>3930</v>
          </cell>
          <cell r="H145">
            <v>2186.77</v>
          </cell>
          <cell r="I145">
            <v>2359.52</v>
          </cell>
          <cell r="J145">
            <v>18311.64</v>
          </cell>
          <cell r="K145">
            <v>18311.64</v>
          </cell>
          <cell r="L145">
            <v>8840.35</v>
          </cell>
          <cell r="M145">
            <v>55</v>
          </cell>
          <cell r="N145">
            <v>55</v>
          </cell>
          <cell r="O145">
            <v>63</v>
          </cell>
        </row>
        <row r="146">
          <cell r="A146" t="str">
            <v>01340</v>
          </cell>
          <cell r="B146">
            <v>79400013</v>
          </cell>
          <cell r="C146">
            <v>36892</v>
          </cell>
          <cell r="D146">
            <v>37256</v>
          </cell>
          <cell r="E146">
            <v>68.030000000000655</v>
          </cell>
          <cell r="F146">
            <v>6463.34</v>
          </cell>
          <cell r="G146">
            <v>4549.93</v>
          </cell>
          <cell r="H146">
            <v>2542.56</v>
          </cell>
          <cell r="I146">
            <v>2734.05</v>
          </cell>
          <cell r="J146">
            <v>16289.88</v>
          </cell>
          <cell r="K146">
            <v>16289.88</v>
          </cell>
          <cell r="L146">
            <v>4383.9799999999996</v>
          </cell>
          <cell r="M146">
            <v>64</v>
          </cell>
          <cell r="N146">
            <v>64</v>
          </cell>
          <cell r="O146">
            <v>73</v>
          </cell>
        </row>
        <row r="147">
          <cell r="A147" t="str">
            <v>01350</v>
          </cell>
          <cell r="B147">
            <v>79400014</v>
          </cell>
          <cell r="C147">
            <v>36892</v>
          </cell>
          <cell r="D147">
            <v>37256</v>
          </cell>
          <cell r="E147">
            <v>57.930000000000291</v>
          </cell>
          <cell r="F147">
            <v>4997.18</v>
          </cell>
          <cell r="G147">
            <v>2153.31</v>
          </cell>
          <cell r="H147">
            <v>926.1</v>
          </cell>
          <cell r="I147">
            <v>1273.3900000000001</v>
          </cell>
          <cell r="J147">
            <v>9349.98</v>
          </cell>
          <cell r="K147">
            <v>9349.98</v>
          </cell>
          <cell r="L147">
            <v>3125.99</v>
          </cell>
          <cell r="M147">
            <v>22</v>
          </cell>
          <cell r="N147">
            <v>22</v>
          </cell>
          <cell r="O147">
            <v>34</v>
          </cell>
        </row>
        <row r="148">
          <cell r="A148" t="str">
            <v>01360</v>
          </cell>
          <cell r="B148">
            <v>79400601</v>
          </cell>
          <cell r="C148">
            <v>36892</v>
          </cell>
          <cell r="D148">
            <v>37256</v>
          </cell>
          <cell r="E148">
            <v>42.540000000000873</v>
          </cell>
          <cell r="F148">
            <v>0</v>
          </cell>
          <cell r="G148">
            <v>0</v>
          </cell>
          <cell r="H148">
            <v>0</v>
          </cell>
          <cell r="I148">
            <v>629.21</v>
          </cell>
          <cell r="J148">
            <v>629.21</v>
          </cell>
          <cell r="K148">
            <v>629.21</v>
          </cell>
          <cell r="L148">
            <v>0</v>
          </cell>
          <cell r="M148">
            <v>0</v>
          </cell>
          <cell r="N148">
            <v>0</v>
          </cell>
          <cell r="O148">
            <v>16.8</v>
          </cell>
        </row>
        <row r="149">
          <cell r="A149" t="str">
            <v>01370</v>
          </cell>
          <cell r="B149">
            <v>79500001</v>
          </cell>
          <cell r="C149">
            <v>36892</v>
          </cell>
          <cell r="D149">
            <v>37256</v>
          </cell>
          <cell r="E149">
            <v>79.6299999999992</v>
          </cell>
          <cell r="F149">
            <v>14046.28</v>
          </cell>
          <cell r="G149">
            <v>7086.01</v>
          </cell>
          <cell r="H149">
            <v>4243.25</v>
          </cell>
          <cell r="I149">
            <v>3934.78</v>
          </cell>
          <cell r="J149">
            <v>29310.32</v>
          </cell>
          <cell r="K149">
            <v>29310.32</v>
          </cell>
          <cell r="L149">
            <v>12898.59</v>
          </cell>
          <cell r="M149">
            <v>108.15</v>
          </cell>
          <cell r="N149">
            <v>108.15</v>
          </cell>
          <cell r="O149">
            <v>105.06</v>
          </cell>
        </row>
        <row r="150">
          <cell r="A150" t="str">
            <v>01380</v>
          </cell>
          <cell r="B150">
            <v>79500002</v>
          </cell>
          <cell r="C150">
            <v>36892</v>
          </cell>
          <cell r="D150">
            <v>37256</v>
          </cell>
          <cell r="E150">
            <v>80.1299999999992</v>
          </cell>
          <cell r="F150">
            <v>7298.76</v>
          </cell>
          <cell r="G150">
            <v>6254.57</v>
          </cell>
          <cell r="H150">
            <v>3639.35</v>
          </cell>
          <cell r="I150">
            <v>5654.61</v>
          </cell>
          <cell r="J150">
            <v>22847.29</v>
          </cell>
          <cell r="K150">
            <v>22847.29</v>
          </cell>
          <cell r="L150">
            <v>4787.2</v>
          </cell>
          <cell r="M150">
            <v>92.29</v>
          </cell>
          <cell r="N150">
            <v>92.29</v>
          </cell>
          <cell r="O150">
            <v>150.97999999999999</v>
          </cell>
        </row>
        <row r="151">
          <cell r="A151" t="str">
            <v>01390</v>
          </cell>
          <cell r="B151">
            <v>79500003</v>
          </cell>
          <cell r="C151">
            <v>36892</v>
          </cell>
          <cell r="D151">
            <v>37256</v>
          </cell>
          <cell r="E151">
            <v>46.829999999999927</v>
          </cell>
          <cell r="F151">
            <v>5069.63</v>
          </cell>
          <cell r="G151">
            <v>5707.72</v>
          </cell>
          <cell r="H151">
            <v>3604.38</v>
          </cell>
          <cell r="I151">
            <v>3670.36</v>
          </cell>
          <cell r="J151">
            <v>18052.09</v>
          </cell>
          <cell r="K151">
            <v>18052.09</v>
          </cell>
          <cell r="L151">
            <v>3761.39</v>
          </cell>
          <cell r="M151">
            <v>92.69</v>
          </cell>
          <cell r="N151">
            <v>92.69</v>
          </cell>
          <cell r="O151">
            <v>98</v>
          </cell>
        </row>
        <row r="152">
          <cell r="A152" t="str">
            <v>01400</v>
          </cell>
          <cell r="B152">
            <v>79500004</v>
          </cell>
          <cell r="C152">
            <v>36892</v>
          </cell>
          <cell r="D152">
            <v>37256</v>
          </cell>
          <cell r="E152">
            <v>79.6299999999992</v>
          </cell>
          <cell r="F152">
            <v>9314.56</v>
          </cell>
          <cell r="G152">
            <v>3958.71</v>
          </cell>
          <cell r="H152">
            <v>1991.99</v>
          </cell>
          <cell r="I152">
            <v>2843.41</v>
          </cell>
          <cell r="J152">
            <v>18108.669999999998</v>
          </cell>
          <cell r="K152">
            <v>18108.669999999998</v>
          </cell>
          <cell r="L152">
            <v>7227.79</v>
          </cell>
          <cell r="M152">
            <v>49.1</v>
          </cell>
          <cell r="N152">
            <v>49.1</v>
          </cell>
          <cell r="O152">
            <v>75.92</v>
          </cell>
        </row>
        <row r="153">
          <cell r="A153" t="str">
            <v>01410</v>
          </cell>
          <cell r="B153">
            <v>79500005</v>
          </cell>
          <cell r="C153">
            <v>36892</v>
          </cell>
          <cell r="D153">
            <v>37256</v>
          </cell>
          <cell r="E153">
            <v>80.1299999999992</v>
          </cell>
          <cell r="F153">
            <v>4060.43</v>
          </cell>
          <cell r="G153">
            <v>2780.39</v>
          </cell>
          <cell r="H153">
            <v>1138.3800000000001</v>
          </cell>
          <cell r="I153">
            <v>2157.2800000000002</v>
          </cell>
          <cell r="J153">
            <v>10136.48</v>
          </cell>
          <cell r="K153">
            <v>10136.48</v>
          </cell>
          <cell r="L153">
            <v>906.19</v>
          </cell>
          <cell r="M153">
            <v>26.69</v>
          </cell>
          <cell r="N153">
            <v>26.69</v>
          </cell>
          <cell r="O153">
            <v>57.6</v>
          </cell>
        </row>
        <row r="154">
          <cell r="A154" t="str">
            <v>01420</v>
          </cell>
          <cell r="B154">
            <v>79500006</v>
          </cell>
          <cell r="C154">
            <v>36892</v>
          </cell>
          <cell r="D154">
            <v>37256</v>
          </cell>
          <cell r="E154">
            <v>46.829999999999927</v>
          </cell>
          <cell r="F154">
            <v>3472.14</v>
          </cell>
          <cell r="G154">
            <v>4001.87</v>
          </cell>
          <cell r="H154">
            <v>2376.39</v>
          </cell>
          <cell r="I154">
            <v>2843.78</v>
          </cell>
          <cell r="J154">
            <v>12694.18</v>
          </cell>
          <cell r="K154">
            <v>12694.18</v>
          </cell>
          <cell r="L154">
            <v>1846.86</v>
          </cell>
          <cell r="M154">
            <v>60.48</v>
          </cell>
          <cell r="N154">
            <v>60.48</v>
          </cell>
          <cell r="O154">
            <v>75.930000000000007</v>
          </cell>
        </row>
        <row r="155">
          <cell r="A155" t="str">
            <v>01430</v>
          </cell>
          <cell r="B155">
            <v>79500007</v>
          </cell>
          <cell r="C155">
            <v>36892</v>
          </cell>
          <cell r="D155">
            <v>37256</v>
          </cell>
          <cell r="E155">
            <v>79.6299999999992</v>
          </cell>
          <cell r="F155">
            <v>6025.23</v>
          </cell>
          <cell r="G155">
            <v>5330.38</v>
          </cell>
          <cell r="H155">
            <v>2979.43</v>
          </cell>
          <cell r="I155">
            <v>2134.81</v>
          </cell>
          <cell r="J155">
            <v>16469.849999999999</v>
          </cell>
          <cell r="K155">
            <v>16469.849999999999</v>
          </cell>
          <cell r="L155">
            <v>3285.64</v>
          </cell>
          <cell r="M155">
            <v>75</v>
          </cell>
          <cell r="N155">
            <v>75</v>
          </cell>
          <cell r="O155">
            <v>57</v>
          </cell>
        </row>
        <row r="156">
          <cell r="A156" t="str">
            <v>01440</v>
          </cell>
          <cell r="B156">
            <v>79500008</v>
          </cell>
          <cell r="C156">
            <v>36892</v>
          </cell>
          <cell r="D156">
            <v>37256</v>
          </cell>
          <cell r="E156">
            <v>80.1299999999992</v>
          </cell>
          <cell r="F156">
            <v>10992.49</v>
          </cell>
          <cell r="G156">
            <v>2904.31</v>
          </cell>
          <cell r="H156">
            <v>1227.5899999999999</v>
          </cell>
          <cell r="I156">
            <v>2629.93</v>
          </cell>
          <cell r="J156">
            <v>17754.32</v>
          </cell>
          <cell r="K156">
            <v>17754.32</v>
          </cell>
          <cell r="L156">
            <v>9214.01</v>
          </cell>
          <cell r="M156">
            <v>29.03</v>
          </cell>
          <cell r="N156">
            <v>29.03</v>
          </cell>
          <cell r="O156">
            <v>70.22</v>
          </cell>
        </row>
        <row r="157">
          <cell r="A157" t="str">
            <v>01450</v>
          </cell>
          <cell r="B157">
            <v>79500009</v>
          </cell>
          <cell r="C157">
            <v>36892</v>
          </cell>
          <cell r="D157">
            <v>37256</v>
          </cell>
          <cell r="E157">
            <v>46.829999999999927</v>
          </cell>
          <cell r="F157">
            <v>6811.13</v>
          </cell>
          <cell r="G157">
            <v>2845.75</v>
          </cell>
          <cell r="H157">
            <v>1544.13</v>
          </cell>
          <cell r="I157">
            <v>1827.69</v>
          </cell>
          <cell r="J157">
            <v>13028.7</v>
          </cell>
          <cell r="K157">
            <v>13028.7</v>
          </cell>
          <cell r="L157">
            <v>5848.51</v>
          </cell>
          <cell r="M157">
            <v>38.65</v>
          </cell>
          <cell r="N157">
            <v>38.65</v>
          </cell>
          <cell r="O157">
            <v>48.8</v>
          </cell>
        </row>
        <row r="158">
          <cell r="A158" t="str">
            <v>01460</v>
          </cell>
          <cell r="B158">
            <v>79500010</v>
          </cell>
          <cell r="C158">
            <v>36892</v>
          </cell>
          <cell r="D158">
            <v>37256</v>
          </cell>
          <cell r="E158">
            <v>79.6299999999992</v>
          </cell>
          <cell r="F158">
            <v>8209.2199999999993</v>
          </cell>
          <cell r="G158">
            <v>8455.0300000000007</v>
          </cell>
          <cell r="H158">
            <v>5228.7700000000004</v>
          </cell>
          <cell r="I158">
            <v>3408.19</v>
          </cell>
          <cell r="J158">
            <v>25301.21</v>
          </cell>
          <cell r="K158">
            <v>25301.21</v>
          </cell>
          <cell r="L158">
            <v>5903.0739999999996</v>
          </cell>
          <cell r="M158">
            <v>134</v>
          </cell>
          <cell r="N158">
            <v>134</v>
          </cell>
          <cell r="O158">
            <v>91</v>
          </cell>
        </row>
        <row r="159">
          <cell r="A159" t="str">
            <v>01470</v>
          </cell>
          <cell r="B159">
            <v>79500011</v>
          </cell>
          <cell r="C159">
            <v>36892</v>
          </cell>
          <cell r="D159">
            <v>37256</v>
          </cell>
          <cell r="E159">
            <v>80.1299999999992</v>
          </cell>
          <cell r="F159">
            <v>3440.93</v>
          </cell>
          <cell r="G159">
            <v>1868.42</v>
          </cell>
          <cell r="H159">
            <v>481.88</v>
          </cell>
          <cell r="I159">
            <v>312.73</v>
          </cell>
          <cell r="J159">
            <v>6103.96</v>
          </cell>
          <cell r="K159">
            <v>6103.96</v>
          </cell>
          <cell r="L159">
            <v>163.75</v>
          </cell>
          <cell r="M159">
            <v>9.4700000000000006</v>
          </cell>
          <cell r="N159">
            <v>9.4700000000000006</v>
          </cell>
          <cell r="O159">
            <v>8.35</v>
          </cell>
        </row>
        <row r="160">
          <cell r="A160" t="str">
            <v>01480</v>
          </cell>
          <cell r="B160">
            <v>79500012</v>
          </cell>
          <cell r="C160">
            <v>36892</v>
          </cell>
          <cell r="D160">
            <v>37256</v>
          </cell>
          <cell r="E160">
            <v>46.829999999999927</v>
          </cell>
          <cell r="F160">
            <v>3274.23</v>
          </cell>
          <cell r="G160">
            <v>1951.25</v>
          </cell>
          <cell r="H160">
            <v>900.21</v>
          </cell>
          <cell r="I160">
            <v>878.27</v>
          </cell>
          <cell r="J160">
            <v>7003.96</v>
          </cell>
          <cell r="K160">
            <v>7003.96</v>
          </cell>
          <cell r="L160">
            <v>1609.66</v>
          </cell>
          <cell r="M160">
            <v>21.76</v>
          </cell>
          <cell r="N160">
            <v>21.76</v>
          </cell>
          <cell r="O160">
            <v>23.45</v>
          </cell>
        </row>
        <row r="161">
          <cell r="A161" t="str">
            <v>01490</v>
          </cell>
          <cell r="B161">
            <v>79500013</v>
          </cell>
          <cell r="C161">
            <v>36892</v>
          </cell>
          <cell r="D161">
            <v>37256</v>
          </cell>
          <cell r="E161">
            <v>58.430000000000291</v>
          </cell>
          <cell r="F161">
            <v>6582.71</v>
          </cell>
          <cell r="G161">
            <v>2691.45</v>
          </cell>
          <cell r="H161">
            <v>1308.0899999999999</v>
          </cell>
          <cell r="I161">
            <v>3707.82</v>
          </cell>
          <cell r="J161">
            <v>14290.07</v>
          </cell>
          <cell r="K161">
            <v>14290.07</v>
          </cell>
          <cell r="L161">
            <v>5001.49</v>
          </cell>
          <cell r="M161">
            <v>32</v>
          </cell>
          <cell r="N161">
            <v>32</v>
          </cell>
          <cell r="O161">
            <v>99</v>
          </cell>
        </row>
        <row r="162">
          <cell r="A162" t="str">
            <v>01500</v>
          </cell>
          <cell r="B162">
            <v>79500014</v>
          </cell>
          <cell r="C162">
            <v>36892</v>
          </cell>
          <cell r="D162">
            <v>37256</v>
          </cell>
          <cell r="E162">
            <v>61.329999999999927</v>
          </cell>
          <cell r="F162">
            <v>12001.08</v>
          </cell>
          <cell r="G162">
            <v>5209.92</v>
          </cell>
          <cell r="H162">
            <v>3089.84</v>
          </cell>
          <cell r="I162">
            <v>3425.42</v>
          </cell>
          <cell r="J162">
            <v>23726.26</v>
          </cell>
          <cell r="K162">
            <v>23726.26</v>
          </cell>
          <cell r="L162">
            <v>11351.88</v>
          </cell>
          <cell r="M162">
            <v>78.62</v>
          </cell>
          <cell r="N162">
            <v>78.62</v>
          </cell>
          <cell r="O162">
            <v>91.46</v>
          </cell>
        </row>
        <row r="163">
          <cell r="A163" t="str">
            <v>01510</v>
          </cell>
          <cell r="B163">
            <v>79500015</v>
          </cell>
          <cell r="C163">
            <v>36892</v>
          </cell>
          <cell r="D163">
            <v>37256</v>
          </cell>
          <cell r="E163">
            <v>35.299999999999272</v>
          </cell>
          <cell r="F163">
            <v>3234.2</v>
          </cell>
          <cell r="G163">
            <v>1797.52</v>
          </cell>
          <cell r="H163">
            <v>913.75</v>
          </cell>
          <cell r="I163">
            <v>973.32</v>
          </cell>
          <cell r="J163">
            <v>6918.79</v>
          </cell>
          <cell r="K163">
            <v>6918.79</v>
          </cell>
          <cell r="L163">
            <v>2131.52</v>
          </cell>
          <cell r="M163">
            <v>22.571000000000002</v>
          </cell>
          <cell r="N163">
            <v>22.571000000000002</v>
          </cell>
          <cell r="O163">
            <v>25.988</v>
          </cell>
        </row>
        <row r="164">
          <cell r="A164" t="str">
            <v>01520</v>
          </cell>
          <cell r="B164">
            <v>79500601</v>
          </cell>
          <cell r="C164">
            <v>36892</v>
          </cell>
          <cell r="D164">
            <v>37256</v>
          </cell>
          <cell r="E164">
            <v>95.399999999999636</v>
          </cell>
          <cell r="F164">
            <v>0</v>
          </cell>
          <cell r="G164">
            <v>0</v>
          </cell>
          <cell r="H164">
            <v>0</v>
          </cell>
          <cell r="I164">
            <v>44493.81</v>
          </cell>
          <cell r="J164">
            <v>44493.81</v>
          </cell>
          <cell r="K164">
            <v>44493.81</v>
          </cell>
          <cell r="L164">
            <v>0</v>
          </cell>
          <cell r="M164">
            <v>0</v>
          </cell>
          <cell r="N164">
            <v>0</v>
          </cell>
          <cell r="O164">
            <v>1188</v>
          </cell>
        </row>
        <row r="165">
          <cell r="A165" t="str">
            <v>01530</v>
          </cell>
          <cell r="B165">
            <v>79500602</v>
          </cell>
          <cell r="C165">
            <v>36892</v>
          </cell>
          <cell r="D165">
            <v>37256</v>
          </cell>
          <cell r="E165">
            <v>25.010000000000218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 t="str">
            <v>01540</v>
          </cell>
          <cell r="B166">
            <v>79600001</v>
          </cell>
          <cell r="C166">
            <v>36892</v>
          </cell>
          <cell r="D166">
            <v>37256</v>
          </cell>
          <cell r="E166">
            <v>67.920000000000073</v>
          </cell>
          <cell r="F166">
            <v>8234.89</v>
          </cell>
          <cell r="G166">
            <v>6262.38</v>
          </cell>
          <cell r="H166">
            <v>3776.47</v>
          </cell>
          <cell r="I166">
            <v>3616.43</v>
          </cell>
          <cell r="J166">
            <v>21890.17</v>
          </cell>
          <cell r="K166">
            <v>21890.17</v>
          </cell>
          <cell r="L166">
            <v>6512.55</v>
          </cell>
          <cell r="M166">
            <v>96.37</v>
          </cell>
          <cell r="N166">
            <v>96.37</v>
          </cell>
          <cell r="O166">
            <v>96.56</v>
          </cell>
        </row>
        <row r="167">
          <cell r="A167" t="str">
            <v>01550</v>
          </cell>
          <cell r="B167">
            <v>79600002</v>
          </cell>
          <cell r="C167">
            <v>36892</v>
          </cell>
          <cell r="D167">
            <v>37256</v>
          </cell>
          <cell r="E167">
            <v>43.829999999999927</v>
          </cell>
          <cell r="F167">
            <v>5976.01</v>
          </cell>
          <cell r="G167">
            <v>2092.3200000000002</v>
          </cell>
          <cell r="H167">
            <v>1034.0899999999999</v>
          </cell>
          <cell r="I167">
            <v>1423.58</v>
          </cell>
          <cell r="J167">
            <v>10526</v>
          </cell>
          <cell r="K167">
            <v>10526</v>
          </cell>
          <cell r="L167">
            <v>4995.92</v>
          </cell>
          <cell r="M167">
            <v>25.39</v>
          </cell>
          <cell r="N167">
            <v>25.39</v>
          </cell>
          <cell r="O167">
            <v>38.01</v>
          </cell>
        </row>
        <row r="168">
          <cell r="A168" t="str">
            <v>01560</v>
          </cell>
          <cell r="B168">
            <v>79600003</v>
          </cell>
          <cell r="C168">
            <v>36892</v>
          </cell>
          <cell r="D168">
            <v>37256</v>
          </cell>
          <cell r="E168">
            <v>44.229999999999563</v>
          </cell>
          <cell r="F168">
            <v>6530.92</v>
          </cell>
          <cell r="G168">
            <v>1919.62</v>
          </cell>
          <cell r="H168">
            <v>905.43</v>
          </cell>
          <cell r="I168">
            <v>1310.85</v>
          </cell>
          <cell r="J168">
            <v>10666.82</v>
          </cell>
          <cell r="K168">
            <v>10666.82</v>
          </cell>
          <cell r="L168">
            <v>5641.19</v>
          </cell>
          <cell r="M168">
            <v>22</v>
          </cell>
          <cell r="N168">
            <v>22</v>
          </cell>
          <cell r="O168">
            <v>35</v>
          </cell>
        </row>
        <row r="169">
          <cell r="A169" t="str">
            <v>01570</v>
          </cell>
          <cell r="B169">
            <v>79600004</v>
          </cell>
          <cell r="C169">
            <v>36892</v>
          </cell>
          <cell r="D169">
            <v>37256</v>
          </cell>
          <cell r="E169">
            <v>58.780000000000655</v>
          </cell>
          <cell r="F169">
            <v>6041.09</v>
          </cell>
          <cell r="G169">
            <v>1865.94</v>
          </cell>
          <cell r="H169">
            <v>710.08</v>
          </cell>
          <cell r="I169">
            <v>1710.46</v>
          </cell>
          <cell r="J169">
            <v>10327.57</v>
          </cell>
          <cell r="K169">
            <v>10327.57</v>
          </cell>
          <cell r="L169">
            <v>4335.08</v>
          </cell>
          <cell r="M169">
            <v>16.3</v>
          </cell>
          <cell r="N169">
            <v>16.3</v>
          </cell>
          <cell r="O169">
            <v>45.67</v>
          </cell>
        </row>
        <row r="170">
          <cell r="A170" t="str">
            <v>01580</v>
          </cell>
          <cell r="B170">
            <v>79600005</v>
          </cell>
          <cell r="C170">
            <v>36892</v>
          </cell>
          <cell r="D170">
            <v>37256</v>
          </cell>
          <cell r="E170">
            <v>60.920000000000073</v>
          </cell>
          <cell r="F170">
            <v>4023.48</v>
          </cell>
          <cell r="G170">
            <v>3097.22</v>
          </cell>
          <cell r="H170">
            <v>1573.39</v>
          </cell>
          <cell r="I170">
            <v>1439.68</v>
          </cell>
          <cell r="J170">
            <v>10133.77</v>
          </cell>
          <cell r="K170">
            <v>10133.77</v>
          </cell>
          <cell r="L170">
            <v>1811.27</v>
          </cell>
          <cell r="M170">
            <v>38.86</v>
          </cell>
          <cell r="N170">
            <v>38.86</v>
          </cell>
          <cell r="O170">
            <v>38.44</v>
          </cell>
        </row>
        <row r="171">
          <cell r="A171" t="str">
            <v>01590</v>
          </cell>
          <cell r="B171">
            <v>79600006</v>
          </cell>
          <cell r="C171">
            <v>36892</v>
          </cell>
          <cell r="D171">
            <v>37256</v>
          </cell>
          <cell r="E171">
            <v>43.829999999999927</v>
          </cell>
          <cell r="F171">
            <v>7110.34</v>
          </cell>
          <cell r="G171">
            <v>3289.76</v>
          </cell>
          <cell r="H171">
            <v>1896.07</v>
          </cell>
          <cell r="I171">
            <v>2808.96</v>
          </cell>
          <cell r="J171">
            <v>15105.13</v>
          </cell>
          <cell r="K171">
            <v>15105.13</v>
          </cell>
          <cell r="L171">
            <v>6355.38</v>
          </cell>
          <cell r="M171">
            <v>48</v>
          </cell>
          <cell r="N171">
            <v>48</v>
          </cell>
          <cell r="O171">
            <v>75</v>
          </cell>
        </row>
        <row r="172">
          <cell r="A172" t="str">
            <v>01600</v>
          </cell>
          <cell r="B172">
            <v>79600007</v>
          </cell>
          <cell r="C172">
            <v>36892</v>
          </cell>
          <cell r="D172">
            <v>37256</v>
          </cell>
          <cell r="E172">
            <v>44.229999999999563</v>
          </cell>
          <cell r="F172">
            <v>2299.2399999999998</v>
          </cell>
          <cell r="G172">
            <v>1280.9100000000001</v>
          </cell>
          <cell r="H172">
            <v>445.65</v>
          </cell>
          <cell r="I172">
            <v>1228.07</v>
          </cell>
          <cell r="J172">
            <v>5253.87</v>
          </cell>
          <cell r="K172">
            <v>5253.87</v>
          </cell>
          <cell r="L172">
            <v>569.66999999999996</v>
          </cell>
          <cell r="M172">
            <v>9.94</v>
          </cell>
          <cell r="N172">
            <v>9.94</v>
          </cell>
          <cell r="O172">
            <v>32.79</v>
          </cell>
        </row>
        <row r="173">
          <cell r="A173" t="str">
            <v>01610</v>
          </cell>
          <cell r="B173">
            <v>79600008</v>
          </cell>
          <cell r="C173">
            <v>36892</v>
          </cell>
          <cell r="D173">
            <v>37256</v>
          </cell>
          <cell r="E173">
            <v>58.780000000000655</v>
          </cell>
          <cell r="F173">
            <v>5725.71</v>
          </cell>
          <cell r="G173">
            <v>1789.68</v>
          </cell>
          <cell r="H173">
            <v>655.17999999999995</v>
          </cell>
          <cell r="I173">
            <v>2154.65</v>
          </cell>
          <cell r="J173">
            <v>10325.219999999999</v>
          </cell>
          <cell r="K173">
            <v>10325.219999999999</v>
          </cell>
          <cell r="L173">
            <v>3957.1</v>
          </cell>
          <cell r="M173">
            <v>14.86</v>
          </cell>
          <cell r="N173">
            <v>14.86</v>
          </cell>
          <cell r="O173">
            <v>57.53</v>
          </cell>
        </row>
        <row r="174">
          <cell r="A174" t="str">
            <v>01620</v>
          </cell>
          <cell r="B174">
            <v>79600009</v>
          </cell>
          <cell r="C174">
            <v>36892</v>
          </cell>
          <cell r="D174">
            <v>37256</v>
          </cell>
          <cell r="E174">
            <v>60.920000000000073</v>
          </cell>
          <cell r="F174">
            <v>2527.2399999999998</v>
          </cell>
          <cell r="G174">
            <v>2299.66</v>
          </cell>
          <cell r="H174">
            <v>999.24</v>
          </cell>
          <cell r="I174">
            <v>1628.82</v>
          </cell>
          <cell r="J174">
            <v>7454.96</v>
          </cell>
          <cell r="K174">
            <v>7454.96</v>
          </cell>
          <cell r="L174">
            <v>18.09</v>
          </cell>
          <cell r="M174">
            <v>23.8</v>
          </cell>
          <cell r="N174">
            <v>23.8</v>
          </cell>
          <cell r="O174">
            <v>43.49</v>
          </cell>
        </row>
        <row r="175">
          <cell r="A175" t="str">
            <v>01630</v>
          </cell>
          <cell r="B175">
            <v>79600010</v>
          </cell>
          <cell r="C175">
            <v>36892</v>
          </cell>
          <cell r="D175">
            <v>37134</v>
          </cell>
          <cell r="E175">
            <v>43.83</v>
          </cell>
          <cell r="F175">
            <v>1463.72</v>
          </cell>
          <cell r="G175">
            <v>3604.72</v>
          </cell>
          <cell r="H175">
            <v>2280.61</v>
          </cell>
          <cell r="I175">
            <v>3195.95</v>
          </cell>
          <cell r="J175">
            <v>10545</v>
          </cell>
          <cell r="K175">
            <v>10545</v>
          </cell>
          <cell r="L175">
            <v>454.54</v>
          </cell>
          <cell r="M175">
            <v>58.665999999999997</v>
          </cell>
          <cell r="N175">
            <v>58.665999999999997</v>
          </cell>
          <cell r="O175">
            <v>85.332999999999998</v>
          </cell>
        </row>
        <row r="176">
          <cell r="A176" t="str">
            <v>01630</v>
          </cell>
          <cell r="B176">
            <v>79600010</v>
          </cell>
          <cell r="C176">
            <v>37135</v>
          </cell>
          <cell r="D176">
            <v>37256</v>
          </cell>
          <cell r="E176">
            <v>43.83</v>
          </cell>
          <cell r="F176">
            <v>722.96</v>
          </cell>
          <cell r="G176">
            <v>249.91</v>
          </cell>
          <cell r="H176">
            <v>22.1</v>
          </cell>
          <cell r="I176">
            <v>0</v>
          </cell>
          <cell r="J176">
            <v>994.97</v>
          </cell>
          <cell r="K176">
            <v>994.97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7">
          <cell r="A177" t="str">
            <v>01640</v>
          </cell>
          <cell r="B177">
            <v>79600011</v>
          </cell>
          <cell r="C177">
            <v>36892</v>
          </cell>
          <cell r="D177">
            <v>37256</v>
          </cell>
          <cell r="E177">
            <v>44.229999999999563</v>
          </cell>
          <cell r="F177">
            <v>2422.0300000000002</v>
          </cell>
          <cell r="G177">
            <v>2408.96</v>
          </cell>
          <cell r="H177">
            <v>1257.7</v>
          </cell>
          <cell r="I177">
            <v>1580.13</v>
          </cell>
          <cell r="J177">
            <v>7668.82</v>
          </cell>
          <cell r="K177">
            <v>7668.82</v>
          </cell>
          <cell r="L177">
            <v>716.83</v>
          </cell>
          <cell r="M177">
            <v>31.24</v>
          </cell>
          <cell r="N177">
            <v>31.24</v>
          </cell>
          <cell r="O177">
            <v>42.19</v>
          </cell>
        </row>
        <row r="178">
          <cell r="A178" t="str">
            <v>01650</v>
          </cell>
          <cell r="B178">
            <v>79600012</v>
          </cell>
          <cell r="C178">
            <v>36892</v>
          </cell>
          <cell r="D178">
            <v>37011</v>
          </cell>
          <cell r="E178">
            <v>58.78</v>
          </cell>
          <cell r="F178">
            <v>2153.42</v>
          </cell>
          <cell r="G178">
            <v>773.67</v>
          </cell>
          <cell r="H178">
            <v>348.78</v>
          </cell>
          <cell r="I178">
            <v>547.94000000000005</v>
          </cell>
          <cell r="J178">
            <v>3823.81</v>
          </cell>
          <cell r="K178">
            <v>3823.81</v>
          </cell>
          <cell r="L178">
            <v>895.92600000000004</v>
          </cell>
          <cell r="M178">
            <v>8.3840000000000003</v>
          </cell>
          <cell r="N178">
            <v>8.3840000000000003</v>
          </cell>
          <cell r="O178">
            <v>14.63</v>
          </cell>
        </row>
        <row r="179">
          <cell r="A179" t="str">
            <v>01650</v>
          </cell>
          <cell r="B179">
            <v>79600012</v>
          </cell>
          <cell r="C179">
            <v>37012</v>
          </cell>
          <cell r="D179">
            <v>37103</v>
          </cell>
          <cell r="E179">
            <v>58.78</v>
          </cell>
          <cell r="F179">
            <v>74.260000000000005</v>
          </cell>
          <cell r="G179">
            <v>593.11</v>
          </cell>
          <cell r="H179">
            <v>267.37</v>
          </cell>
          <cell r="I179">
            <v>420.07</v>
          </cell>
          <cell r="J179">
            <v>1354.81</v>
          </cell>
          <cell r="K179">
            <v>1354.81</v>
          </cell>
          <cell r="L179">
            <v>30.893999999999998</v>
          </cell>
          <cell r="M179">
            <v>6.4269999999999996</v>
          </cell>
          <cell r="N179">
            <v>6.4269999999999996</v>
          </cell>
          <cell r="O179">
            <v>11.215999999999999</v>
          </cell>
        </row>
        <row r="180">
          <cell r="A180" t="str">
            <v>01650</v>
          </cell>
          <cell r="B180">
            <v>79600012</v>
          </cell>
          <cell r="C180">
            <v>37104</v>
          </cell>
          <cell r="D180">
            <v>37256</v>
          </cell>
          <cell r="E180">
            <v>58.78</v>
          </cell>
          <cell r="F180">
            <v>3054.7</v>
          </cell>
          <cell r="G180">
            <v>986.4</v>
          </cell>
          <cell r="H180">
            <v>444.67</v>
          </cell>
          <cell r="I180">
            <v>698.6</v>
          </cell>
          <cell r="J180">
            <v>5184.37</v>
          </cell>
          <cell r="K180">
            <v>5184.37</v>
          </cell>
          <cell r="L180">
            <v>2498.96</v>
          </cell>
          <cell r="M180">
            <v>10.689</v>
          </cell>
          <cell r="N180">
            <v>10.689</v>
          </cell>
          <cell r="O180">
            <v>18.652999999999999</v>
          </cell>
        </row>
        <row r="181">
          <cell r="A181" t="str">
            <v>01660</v>
          </cell>
          <cell r="B181">
            <v>79600013</v>
          </cell>
          <cell r="C181">
            <v>36892</v>
          </cell>
          <cell r="D181">
            <v>37256</v>
          </cell>
          <cell r="E181">
            <v>60.920000000000073</v>
          </cell>
          <cell r="F181">
            <v>6196.15</v>
          </cell>
          <cell r="G181">
            <v>3264.57</v>
          </cell>
          <cell r="H181">
            <v>1693.86</v>
          </cell>
          <cell r="I181">
            <v>1741.93</v>
          </cell>
          <cell r="J181">
            <v>12896.51</v>
          </cell>
          <cell r="K181">
            <v>12896.51</v>
          </cell>
          <cell r="L181">
            <v>4415.16</v>
          </cell>
          <cell r="M181">
            <v>42.02</v>
          </cell>
          <cell r="N181">
            <v>42.02</v>
          </cell>
          <cell r="O181">
            <v>46.51</v>
          </cell>
        </row>
        <row r="182">
          <cell r="A182" t="str">
            <v>01670</v>
          </cell>
          <cell r="B182">
            <v>79600014</v>
          </cell>
          <cell r="C182">
            <v>36892</v>
          </cell>
          <cell r="D182">
            <v>37256</v>
          </cell>
          <cell r="E182">
            <v>43.829999999999927</v>
          </cell>
          <cell r="F182">
            <v>7936.44</v>
          </cell>
          <cell r="G182">
            <v>3481.48</v>
          </cell>
          <cell r="H182">
            <v>2034.09</v>
          </cell>
          <cell r="I182">
            <v>1256.9100000000001</v>
          </cell>
          <cell r="J182">
            <v>14708.92</v>
          </cell>
          <cell r="K182">
            <v>14708.92</v>
          </cell>
          <cell r="L182">
            <v>7345.42</v>
          </cell>
          <cell r="M182">
            <v>51.62</v>
          </cell>
          <cell r="N182">
            <v>51.62</v>
          </cell>
          <cell r="O182">
            <v>33.56</v>
          </cell>
        </row>
        <row r="183">
          <cell r="A183" t="str">
            <v>01680</v>
          </cell>
          <cell r="B183">
            <v>79600015</v>
          </cell>
          <cell r="C183">
            <v>36892</v>
          </cell>
          <cell r="D183">
            <v>37256</v>
          </cell>
          <cell r="E183">
            <v>43.829999999999927</v>
          </cell>
          <cell r="F183">
            <v>6401.79</v>
          </cell>
          <cell r="G183">
            <v>4845.2</v>
          </cell>
          <cell r="H183">
            <v>3015.78</v>
          </cell>
          <cell r="I183">
            <v>2365.89</v>
          </cell>
          <cell r="J183">
            <v>16628.66</v>
          </cell>
          <cell r="K183">
            <v>16628.66</v>
          </cell>
          <cell r="L183">
            <v>5506.2</v>
          </cell>
          <cell r="M183">
            <v>77.37</v>
          </cell>
          <cell r="N183">
            <v>77.37</v>
          </cell>
          <cell r="O183">
            <v>63.17</v>
          </cell>
        </row>
        <row r="184">
          <cell r="A184" t="str">
            <v>01690</v>
          </cell>
          <cell r="B184">
            <v>79600016</v>
          </cell>
          <cell r="C184">
            <v>36892</v>
          </cell>
          <cell r="D184">
            <v>37256</v>
          </cell>
          <cell r="E184">
            <v>58.780000000000655</v>
          </cell>
          <cell r="F184">
            <v>9288.23</v>
          </cell>
          <cell r="G184">
            <v>1638.74</v>
          </cell>
          <cell r="H184">
            <v>546.52</v>
          </cell>
          <cell r="I184">
            <v>1367.39</v>
          </cell>
          <cell r="J184">
            <v>12840.88</v>
          </cell>
          <cell r="K184">
            <v>12840.88</v>
          </cell>
          <cell r="L184">
            <v>8226.66</v>
          </cell>
          <cell r="M184">
            <v>12.01</v>
          </cell>
          <cell r="N184">
            <v>12.01</v>
          </cell>
          <cell r="O184">
            <v>36.51</v>
          </cell>
        </row>
        <row r="185">
          <cell r="A185" t="str">
            <v>01700</v>
          </cell>
          <cell r="B185">
            <v>79600017</v>
          </cell>
          <cell r="C185">
            <v>36892</v>
          </cell>
          <cell r="D185">
            <v>37256</v>
          </cell>
          <cell r="E185">
            <v>70.329999999999927</v>
          </cell>
          <cell r="F185">
            <v>12061.63</v>
          </cell>
          <cell r="G185">
            <v>7025.33</v>
          </cell>
          <cell r="H185">
            <v>4299.75</v>
          </cell>
          <cell r="I185">
            <v>6366.96</v>
          </cell>
          <cell r="J185">
            <v>29753.67</v>
          </cell>
          <cell r="K185">
            <v>29753.67</v>
          </cell>
          <cell r="L185">
            <v>10979.65</v>
          </cell>
          <cell r="M185">
            <v>110</v>
          </cell>
          <cell r="N185">
            <v>110</v>
          </cell>
          <cell r="O185">
            <v>170</v>
          </cell>
        </row>
        <row r="186">
          <cell r="A186" t="str">
            <v>01710</v>
          </cell>
          <cell r="B186">
            <v>79600018</v>
          </cell>
          <cell r="C186">
            <v>36892</v>
          </cell>
          <cell r="D186">
            <v>37256</v>
          </cell>
          <cell r="E186">
            <v>56.1299999999992</v>
          </cell>
          <cell r="F186">
            <v>4279.22</v>
          </cell>
          <cell r="G186">
            <v>2652.22</v>
          </cell>
          <cell r="H186">
            <v>1304.6400000000001</v>
          </cell>
          <cell r="I186">
            <v>2322.0700000000002</v>
          </cell>
          <cell r="J186">
            <v>10558.15</v>
          </cell>
          <cell r="K186">
            <v>10558.15</v>
          </cell>
          <cell r="L186">
            <v>2354.5100000000002</v>
          </cell>
          <cell r="M186">
            <v>32</v>
          </cell>
          <cell r="N186">
            <v>32</v>
          </cell>
          <cell r="O186">
            <v>62</v>
          </cell>
        </row>
        <row r="187">
          <cell r="A187" t="str">
            <v>01720</v>
          </cell>
          <cell r="B187">
            <v>79600601</v>
          </cell>
          <cell r="C187">
            <v>36892</v>
          </cell>
          <cell r="D187">
            <v>37256</v>
          </cell>
          <cell r="E187">
            <v>98.690000000000509</v>
          </cell>
          <cell r="F187">
            <v>0</v>
          </cell>
          <cell r="G187">
            <v>0</v>
          </cell>
          <cell r="H187">
            <v>0</v>
          </cell>
          <cell r="I187">
            <v>4214.18</v>
          </cell>
          <cell r="J187">
            <v>4214.18</v>
          </cell>
          <cell r="K187">
            <v>4214.18</v>
          </cell>
          <cell r="L187">
            <v>0</v>
          </cell>
          <cell r="M187">
            <v>0</v>
          </cell>
          <cell r="N187">
            <v>0</v>
          </cell>
          <cell r="O187">
            <v>112.52</v>
          </cell>
        </row>
        <row r="188">
          <cell r="A188" t="str">
            <v>01730</v>
          </cell>
          <cell r="B188">
            <v>79600602</v>
          </cell>
          <cell r="C188">
            <v>36892</v>
          </cell>
          <cell r="D188">
            <v>37256</v>
          </cell>
          <cell r="E188">
            <v>60.329999999999927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A189" t="str">
            <v>01740</v>
          </cell>
          <cell r="B189">
            <v>79700001</v>
          </cell>
          <cell r="C189">
            <v>36892</v>
          </cell>
          <cell r="D189">
            <v>37256</v>
          </cell>
          <cell r="E189">
            <v>77.1299999999992</v>
          </cell>
          <cell r="F189">
            <v>11409.87</v>
          </cell>
          <cell r="G189">
            <v>5663.74</v>
          </cell>
          <cell r="H189">
            <v>3246.33</v>
          </cell>
          <cell r="I189">
            <v>3468.12</v>
          </cell>
          <cell r="J189">
            <v>23788.06</v>
          </cell>
          <cell r="K189">
            <v>23788.06</v>
          </cell>
          <cell r="L189">
            <v>9862.48</v>
          </cell>
          <cell r="M189">
            <v>82.1</v>
          </cell>
          <cell r="N189">
            <v>82.1</v>
          </cell>
          <cell r="O189">
            <v>92.6</v>
          </cell>
        </row>
        <row r="190">
          <cell r="A190" t="str">
            <v>01750</v>
          </cell>
          <cell r="B190">
            <v>79700002</v>
          </cell>
          <cell r="C190">
            <v>36892</v>
          </cell>
          <cell r="D190">
            <v>37256</v>
          </cell>
          <cell r="E190">
            <v>44.1299999999992</v>
          </cell>
          <cell r="F190">
            <v>6615.19</v>
          </cell>
          <cell r="G190">
            <v>2827.76</v>
          </cell>
          <cell r="H190">
            <v>1560.26</v>
          </cell>
          <cell r="I190">
            <v>2413.4499999999998</v>
          </cell>
          <cell r="J190">
            <v>13416.66</v>
          </cell>
          <cell r="K190">
            <v>13416.66</v>
          </cell>
          <cell r="L190">
            <v>5747.13</v>
          </cell>
          <cell r="M190">
            <v>39.18</v>
          </cell>
          <cell r="N190">
            <v>39.18</v>
          </cell>
          <cell r="O190">
            <v>64.44</v>
          </cell>
        </row>
        <row r="191">
          <cell r="A191" t="str">
            <v>01760</v>
          </cell>
          <cell r="B191">
            <v>79700003</v>
          </cell>
          <cell r="C191">
            <v>36892</v>
          </cell>
          <cell r="D191">
            <v>37256</v>
          </cell>
          <cell r="E191">
            <v>85.430000000000291</v>
          </cell>
          <cell r="F191">
            <v>4503.21</v>
          </cell>
          <cell r="G191">
            <v>6491.16</v>
          </cell>
          <cell r="H191">
            <v>3752.57</v>
          </cell>
          <cell r="I191">
            <v>3719.43</v>
          </cell>
          <cell r="J191">
            <v>18466.37</v>
          </cell>
          <cell r="K191">
            <v>18466.37</v>
          </cell>
          <cell r="L191">
            <v>1174.92</v>
          </cell>
          <cell r="M191">
            <v>95.05</v>
          </cell>
          <cell r="N191">
            <v>95.05</v>
          </cell>
          <cell r="O191">
            <v>99.31</v>
          </cell>
        </row>
        <row r="192">
          <cell r="A192" t="str">
            <v>01770</v>
          </cell>
          <cell r="B192">
            <v>79700004</v>
          </cell>
          <cell r="C192">
            <v>36892</v>
          </cell>
          <cell r="D192">
            <v>37256</v>
          </cell>
          <cell r="E192">
            <v>77.1299999999992</v>
          </cell>
          <cell r="F192">
            <v>4748.04</v>
          </cell>
          <cell r="G192">
            <v>3847.21</v>
          </cell>
          <cell r="H192">
            <v>1938.67</v>
          </cell>
          <cell r="I192">
            <v>1378.26</v>
          </cell>
          <cell r="J192">
            <v>11912.18</v>
          </cell>
          <cell r="K192">
            <v>11912.18</v>
          </cell>
          <cell r="L192">
            <v>1878.52</v>
          </cell>
          <cell r="M192">
            <v>47.8</v>
          </cell>
          <cell r="N192">
            <v>47.8</v>
          </cell>
          <cell r="O192">
            <v>36.799999999999997</v>
          </cell>
        </row>
        <row r="193">
          <cell r="A193" t="str">
            <v>01780</v>
          </cell>
          <cell r="B193">
            <v>79700005</v>
          </cell>
          <cell r="C193">
            <v>36892</v>
          </cell>
          <cell r="D193">
            <v>37256</v>
          </cell>
          <cell r="E193">
            <v>44.1299999999992</v>
          </cell>
          <cell r="F193">
            <v>2137.12</v>
          </cell>
          <cell r="G193">
            <v>1707.12</v>
          </cell>
          <cell r="H193">
            <v>753.55</v>
          </cell>
          <cell r="I193">
            <v>776.39</v>
          </cell>
          <cell r="J193">
            <v>5374.18</v>
          </cell>
          <cell r="K193">
            <v>5374.18</v>
          </cell>
          <cell r="L193">
            <v>380.32</v>
          </cell>
          <cell r="M193">
            <v>18.02</v>
          </cell>
          <cell r="N193">
            <v>18.02</v>
          </cell>
          <cell r="O193">
            <v>20.73</v>
          </cell>
        </row>
        <row r="194">
          <cell r="A194" t="str">
            <v>01790</v>
          </cell>
          <cell r="B194">
            <v>79700006</v>
          </cell>
          <cell r="C194">
            <v>36892</v>
          </cell>
          <cell r="D194">
            <v>37256</v>
          </cell>
          <cell r="E194">
            <v>88.430000000000291</v>
          </cell>
          <cell r="F194">
            <v>9460.7900000000009</v>
          </cell>
          <cell r="G194">
            <v>2781.63</v>
          </cell>
          <cell r="H194">
            <v>1049.8699999999999</v>
          </cell>
          <cell r="I194">
            <v>1522.83</v>
          </cell>
          <cell r="J194">
            <v>14815.12</v>
          </cell>
          <cell r="K194">
            <v>14815.12</v>
          </cell>
          <cell r="L194">
            <v>6968.13</v>
          </cell>
          <cell r="M194">
            <v>24.04</v>
          </cell>
          <cell r="N194">
            <v>24.04</v>
          </cell>
          <cell r="O194">
            <v>40.659999999999997</v>
          </cell>
        </row>
        <row r="195">
          <cell r="A195" t="str">
            <v>01800</v>
          </cell>
          <cell r="B195">
            <v>79700007</v>
          </cell>
          <cell r="C195">
            <v>36892</v>
          </cell>
          <cell r="D195">
            <v>37256</v>
          </cell>
          <cell r="E195">
            <v>77.1299999999992</v>
          </cell>
          <cell r="F195">
            <v>11821.78</v>
          </cell>
          <cell r="G195">
            <v>4771.3599999999997</v>
          </cell>
          <cell r="H195">
            <v>2603.9299999999998</v>
          </cell>
          <cell r="I195">
            <v>3639.28</v>
          </cell>
          <cell r="J195">
            <v>22836.35</v>
          </cell>
          <cell r="K195">
            <v>22836.35</v>
          </cell>
          <cell r="L195">
            <v>10356.16</v>
          </cell>
          <cell r="M195">
            <v>65.25</v>
          </cell>
          <cell r="N195">
            <v>65.25</v>
          </cell>
          <cell r="O195">
            <v>97.17</v>
          </cell>
        </row>
        <row r="196">
          <cell r="A196" t="str">
            <v>01810</v>
          </cell>
          <cell r="B196">
            <v>79700008</v>
          </cell>
          <cell r="C196">
            <v>36892</v>
          </cell>
          <cell r="D196">
            <v>37256</v>
          </cell>
          <cell r="E196">
            <v>44.1299999999992</v>
          </cell>
          <cell r="F196">
            <v>2317.84</v>
          </cell>
          <cell r="G196">
            <v>3018.43</v>
          </cell>
          <cell r="H196">
            <v>1697.52</v>
          </cell>
          <cell r="I196">
            <v>2563.2600000000002</v>
          </cell>
          <cell r="J196">
            <v>9597.0499999999993</v>
          </cell>
          <cell r="K196">
            <v>9597.0499999999993</v>
          </cell>
          <cell r="L196">
            <v>596.9</v>
          </cell>
          <cell r="M196">
            <v>42.78</v>
          </cell>
          <cell r="N196">
            <v>42.78</v>
          </cell>
          <cell r="O196">
            <v>68.44</v>
          </cell>
        </row>
        <row r="197">
          <cell r="A197" t="str">
            <v>01820</v>
          </cell>
          <cell r="B197">
            <v>79700009</v>
          </cell>
          <cell r="C197">
            <v>36892</v>
          </cell>
          <cell r="D197">
            <v>37256</v>
          </cell>
          <cell r="E197">
            <v>85.430000000000291</v>
          </cell>
          <cell r="F197">
            <v>5371.03</v>
          </cell>
          <cell r="G197">
            <v>3719.75</v>
          </cell>
          <cell r="H197">
            <v>1757.51</v>
          </cell>
          <cell r="I197">
            <v>2308.59</v>
          </cell>
          <cell r="J197">
            <v>13156.88</v>
          </cell>
          <cell r="K197">
            <v>13156.88</v>
          </cell>
          <cell r="L197">
            <v>2214.96</v>
          </cell>
          <cell r="M197">
            <v>42.72</v>
          </cell>
          <cell r="N197">
            <v>42.72</v>
          </cell>
          <cell r="O197">
            <v>61.64</v>
          </cell>
        </row>
        <row r="198">
          <cell r="A198" t="str">
            <v>01830</v>
          </cell>
          <cell r="B198">
            <v>79700010</v>
          </cell>
          <cell r="C198">
            <v>36892</v>
          </cell>
          <cell r="D198">
            <v>37256</v>
          </cell>
          <cell r="E198">
            <v>77.1299999999992</v>
          </cell>
          <cell r="F198">
            <v>5128.58</v>
          </cell>
          <cell r="G198">
            <v>2823.49</v>
          </cell>
          <cell r="H198">
            <v>1201.72</v>
          </cell>
          <cell r="I198">
            <v>1853.91</v>
          </cell>
          <cell r="J198">
            <v>11007.7</v>
          </cell>
          <cell r="K198">
            <v>11007.7</v>
          </cell>
          <cell r="L198">
            <v>2334.6</v>
          </cell>
          <cell r="M198">
            <v>28.47</v>
          </cell>
          <cell r="N198">
            <v>28.47</v>
          </cell>
          <cell r="O198">
            <v>49.5</v>
          </cell>
        </row>
        <row r="199">
          <cell r="A199" t="str">
            <v>01840</v>
          </cell>
          <cell r="B199">
            <v>79700011</v>
          </cell>
          <cell r="C199">
            <v>36892</v>
          </cell>
          <cell r="D199">
            <v>37256</v>
          </cell>
          <cell r="E199">
            <v>44.1299999999992</v>
          </cell>
          <cell r="F199">
            <v>6341.88</v>
          </cell>
          <cell r="G199">
            <v>1917.91</v>
          </cell>
          <cell r="H199">
            <v>905.29</v>
          </cell>
          <cell r="I199">
            <v>1273.3900000000001</v>
          </cell>
          <cell r="J199">
            <v>10438.469999999999</v>
          </cell>
          <cell r="K199">
            <v>10438.469999999999</v>
          </cell>
          <cell r="L199">
            <v>5419.57</v>
          </cell>
          <cell r="M199">
            <v>22</v>
          </cell>
          <cell r="N199">
            <v>22</v>
          </cell>
          <cell r="O199">
            <v>34</v>
          </cell>
        </row>
        <row r="200">
          <cell r="A200" t="str">
            <v>01850</v>
          </cell>
          <cell r="B200">
            <v>79700012</v>
          </cell>
          <cell r="C200">
            <v>36892</v>
          </cell>
          <cell r="D200">
            <v>37256</v>
          </cell>
          <cell r="E200">
            <v>85.430000000000291</v>
          </cell>
          <cell r="F200">
            <v>10686.98</v>
          </cell>
          <cell r="G200">
            <v>3994.62</v>
          </cell>
          <cell r="H200">
            <v>1955.37</v>
          </cell>
          <cell r="I200">
            <v>2602.59</v>
          </cell>
          <cell r="J200">
            <v>19239.560000000001</v>
          </cell>
          <cell r="K200">
            <v>19239.560000000001</v>
          </cell>
          <cell r="L200">
            <v>8585.93</v>
          </cell>
          <cell r="M200">
            <v>47.91</v>
          </cell>
          <cell r="N200">
            <v>47.91</v>
          </cell>
          <cell r="O200">
            <v>69.489999999999995</v>
          </cell>
        </row>
        <row r="201">
          <cell r="A201" t="str">
            <v>01860</v>
          </cell>
          <cell r="B201">
            <v>79700013</v>
          </cell>
          <cell r="C201">
            <v>36892</v>
          </cell>
          <cell r="D201">
            <v>37256</v>
          </cell>
          <cell r="E201">
            <v>59.430000000000291</v>
          </cell>
          <cell r="F201">
            <v>8412.2000000000007</v>
          </cell>
          <cell r="G201">
            <v>5228.34</v>
          </cell>
          <cell r="H201">
            <v>3123.58</v>
          </cell>
          <cell r="I201">
            <v>4086.46</v>
          </cell>
          <cell r="J201">
            <v>20850.580000000002</v>
          </cell>
          <cell r="K201">
            <v>20850.580000000002</v>
          </cell>
          <cell r="L201">
            <v>7144.65</v>
          </cell>
          <cell r="M201">
            <v>79.58</v>
          </cell>
          <cell r="N201">
            <v>79.58</v>
          </cell>
          <cell r="O201">
            <v>109.11</v>
          </cell>
        </row>
        <row r="202">
          <cell r="A202" t="str">
            <v>01870</v>
          </cell>
          <cell r="B202">
            <v>79700014</v>
          </cell>
          <cell r="C202">
            <v>36892</v>
          </cell>
          <cell r="D202">
            <v>37256</v>
          </cell>
          <cell r="E202">
            <v>35.5</v>
          </cell>
          <cell r="F202">
            <v>1684.28</v>
          </cell>
          <cell r="G202">
            <v>3405.05</v>
          </cell>
          <cell r="H202">
            <v>2068.79</v>
          </cell>
          <cell r="I202">
            <v>1916.08</v>
          </cell>
          <cell r="J202">
            <v>9074.2000000000007</v>
          </cell>
          <cell r="K202">
            <v>9074.2000000000007</v>
          </cell>
          <cell r="L202">
            <v>264.11</v>
          </cell>
          <cell r="M202">
            <v>52.86</v>
          </cell>
          <cell r="N202">
            <v>52.86</v>
          </cell>
          <cell r="O202">
            <v>51.16</v>
          </cell>
        </row>
        <row r="203">
          <cell r="A203" t="str">
            <v>01880</v>
          </cell>
          <cell r="B203">
            <v>79700015</v>
          </cell>
          <cell r="C203">
            <v>36892</v>
          </cell>
          <cell r="D203">
            <v>37256</v>
          </cell>
          <cell r="E203">
            <v>65.229999999999563</v>
          </cell>
          <cell r="F203">
            <v>5753</v>
          </cell>
          <cell r="G203">
            <v>2677.69</v>
          </cell>
          <cell r="H203">
            <v>1224.95</v>
          </cell>
          <cell r="I203">
            <v>1897.35</v>
          </cell>
          <cell r="J203">
            <v>11552.99</v>
          </cell>
          <cell r="K203">
            <v>11552.99</v>
          </cell>
          <cell r="L203">
            <v>3671.05</v>
          </cell>
          <cell r="M203">
            <v>29.55</v>
          </cell>
          <cell r="N203">
            <v>29.55</v>
          </cell>
          <cell r="O203">
            <v>50.66</v>
          </cell>
        </row>
        <row r="204">
          <cell r="A204" t="str">
            <v>01890</v>
          </cell>
          <cell r="B204">
            <v>79700101</v>
          </cell>
          <cell r="C204">
            <v>36892</v>
          </cell>
          <cell r="D204">
            <v>37134</v>
          </cell>
          <cell r="E204">
            <v>78.81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A205" t="str">
            <v>01890</v>
          </cell>
          <cell r="B205">
            <v>79700101</v>
          </cell>
          <cell r="C205">
            <v>37135</v>
          </cell>
          <cell r="D205">
            <v>37256</v>
          </cell>
          <cell r="E205">
            <v>78.81</v>
          </cell>
          <cell r="F205">
            <v>0</v>
          </cell>
          <cell r="G205">
            <v>0</v>
          </cell>
          <cell r="H205">
            <v>0</v>
          </cell>
          <cell r="I205">
            <v>149.81</v>
          </cell>
          <cell r="J205">
            <v>149.81</v>
          </cell>
          <cell r="K205">
            <v>149.81</v>
          </cell>
          <cell r="L205">
            <v>0</v>
          </cell>
          <cell r="M205">
            <v>0</v>
          </cell>
          <cell r="N205">
            <v>0</v>
          </cell>
          <cell r="O205">
            <v>4</v>
          </cell>
        </row>
        <row r="206">
          <cell r="A206" t="str">
            <v>01900</v>
          </cell>
          <cell r="B206">
            <v>79700250</v>
          </cell>
          <cell r="C206">
            <v>36892</v>
          </cell>
          <cell r="D206">
            <v>36922</v>
          </cell>
          <cell r="E206">
            <v>72.5</v>
          </cell>
          <cell r="F206">
            <v>0</v>
          </cell>
          <cell r="G206">
            <v>0</v>
          </cell>
          <cell r="H206">
            <v>0</v>
          </cell>
          <cell r="I206">
            <v>37.46</v>
          </cell>
          <cell r="J206">
            <v>37.46</v>
          </cell>
          <cell r="K206">
            <v>37.46</v>
          </cell>
          <cell r="L206">
            <v>0</v>
          </cell>
          <cell r="M206">
            <v>0</v>
          </cell>
          <cell r="N206">
            <v>0</v>
          </cell>
          <cell r="O206">
            <v>1</v>
          </cell>
        </row>
        <row r="207">
          <cell r="A207" t="str">
            <v>01900</v>
          </cell>
          <cell r="B207">
            <v>79700250</v>
          </cell>
          <cell r="C207">
            <v>36923</v>
          </cell>
          <cell r="D207">
            <v>37256</v>
          </cell>
          <cell r="E207">
            <v>72.5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8">
          <cell r="A208" t="str">
            <v>01910</v>
          </cell>
          <cell r="B208">
            <v>79800001</v>
          </cell>
          <cell r="C208">
            <v>36892</v>
          </cell>
          <cell r="D208">
            <v>37256</v>
          </cell>
          <cell r="E208">
            <v>62.5</v>
          </cell>
          <cell r="F208">
            <v>8332.92</v>
          </cell>
          <cell r="G208">
            <v>3873.04</v>
          </cell>
          <cell r="H208">
            <v>2114.85</v>
          </cell>
          <cell r="I208">
            <v>4289.46</v>
          </cell>
          <cell r="J208">
            <v>18610.27</v>
          </cell>
          <cell r="K208">
            <v>18610.27</v>
          </cell>
          <cell r="L208">
            <v>6897.89</v>
          </cell>
          <cell r="M208">
            <v>53</v>
          </cell>
          <cell r="N208">
            <v>53</v>
          </cell>
          <cell r="O208">
            <v>114.53</v>
          </cell>
        </row>
        <row r="209">
          <cell r="A209" t="str">
            <v>01920</v>
          </cell>
          <cell r="B209">
            <v>79800002</v>
          </cell>
          <cell r="C209">
            <v>36892</v>
          </cell>
          <cell r="D209">
            <v>37256</v>
          </cell>
          <cell r="E209">
            <v>79.700000000000728</v>
          </cell>
          <cell r="F209">
            <v>6032.84</v>
          </cell>
          <cell r="G209">
            <v>6764.14</v>
          </cell>
          <cell r="H209">
            <v>4010.8</v>
          </cell>
          <cell r="I209">
            <v>4129.53</v>
          </cell>
          <cell r="J209">
            <v>20937.310000000001</v>
          </cell>
          <cell r="K209">
            <v>20937.310000000001</v>
          </cell>
          <cell r="L209">
            <v>3291.31</v>
          </cell>
          <cell r="M209">
            <v>102.05</v>
          </cell>
          <cell r="N209">
            <v>102.05</v>
          </cell>
          <cell r="O209">
            <v>110.26</v>
          </cell>
        </row>
        <row r="210">
          <cell r="A210" t="str">
            <v>01930</v>
          </cell>
          <cell r="B210">
            <v>79800003</v>
          </cell>
          <cell r="C210">
            <v>36892</v>
          </cell>
          <cell r="D210">
            <v>37256</v>
          </cell>
          <cell r="E210">
            <v>82.6299999999992</v>
          </cell>
          <cell r="F210">
            <v>5987.66</v>
          </cell>
          <cell r="G210">
            <v>4511.9399999999996</v>
          </cell>
          <cell r="H210">
            <v>2357.94</v>
          </cell>
          <cell r="I210">
            <v>3153.52</v>
          </cell>
          <cell r="J210">
            <v>16011.06</v>
          </cell>
          <cell r="K210">
            <v>16011.06</v>
          </cell>
          <cell r="L210">
            <v>3092.35</v>
          </cell>
          <cell r="M210">
            <v>58.58</v>
          </cell>
          <cell r="N210">
            <v>58.58</v>
          </cell>
          <cell r="O210">
            <v>84.2</v>
          </cell>
        </row>
        <row r="211">
          <cell r="A211" t="str">
            <v>01940</v>
          </cell>
          <cell r="B211">
            <v>79800004</v>
          </cell>
          <cell r="C211">
            <v>36892</v>
          </cell>
          <cell r="D211">
            <v>37256</v>
          </cell>
          <cell r="E211">
            <v>62.5</v>
          </cell>
          <cell r="F211">
            <v>6609.39</v>
          </cell>
          <cell r="G211">
            <v>5112.83</v>
          </cell>
          <cell r="H211">
            <v>3007.34</v>
          </cell>
          <cell r="I211">
            <v>2964.75</v>
          </cell>
          <cell r="J211">
            <v>17694.310000000001</v>
          </cell>
          <cell r="K211">
            <v>17694.310000000001</v>
          </cell>
          <cell r="L211">
            <v>4832.3100000000004</v>
          </cell>
          <cell r="M211">
            <v>76.41</v>
          </cell>
          <cell r="N211">
            <v>76.41</v>
          </cell>
          <cell r="O211">
            <v>79.16</v>
          </cell>
        </row>
        <row r="212">
          <cell r="A212" t="str">
            <v>01950</v>
          </cell>
          <cell r="B212">
            <v>79800005</v>
          </cell>
          <cell r="C212">
            <v>36892</v>
          </cell>
          <cell r="D212">
            <v>37256</v>
          </cell>
          <cell r="E212">
            <v>79.700000000000728</v>
          </cell>
          <cell r="F212">
            <v>6027.62</v>
          </cell>
          <cell r="G212">
            <v>3213.16</v>
          </cell>
          <cell r="H212">
            <v>1454.55</v>
          </cell>
          <cell r="I212">
            <v>1685.38</v>
          </cell>
          <cell r="J212">
            <v>12380.71</v>
          </cell>
          <cell r="K212">
            <v>12380.71</v>
          </cell>
          <cell r="L212">
            <v>3285.05</v>
          </cell>
          <cell r="M212">
            <v>35</v>
          </cell>
          <cell r="N212">
            <v>35</v>
          </cell>
          <cell r="O212">
            <v>45</v>
          </cell>
        </row>
        <row r="213">
          <cell r="A213" t="str">
            <v>01960</v>
          </cell>
          <cell r="B213">
            <v>79800006</v>
          </cell>
          <cell r="C213">
            <v>36892</v>
          </cell>
          <cell r="D213">
            <v>37256</v>
          </cell>
          <cell r="E213">
            <v>82.6299999999992</v>
          </cell>
          <cell r="F213">
            <v>5929.14</v>
          </cell>
          <cell r="G213">
            <v>9131.1200000000008</v>
          </cell>
          <cell r="H213">
            <v>5683.16</v>
          </cell>
          <cell r="I213">
            <v>3738.9</v>
          </cell>
          <cell r="J213">
            <v>24482.32</v>
          </cell>
          <cell r="K213">
            <v>24482.32</v>
          </cell>
          <cell r="L213">
            <v>3022.22</v>
          </cell>
          <cell r="M213">
            <v>145.80000000000001</v>
          </cell>
          <cell r="N213">
            <v>145.80000000000001</v>
          </cell>
          <cell r="O213">
            <v>99.83</v>
          </cell>
        </row>
        <row r="214">
          <cell r="A214" t="str">
            <v>01970</v>
          </cell>
          <cell r="B214">
            <v>79800007</v>
          </cell>
          <cell r="C214">
            <v>36892</v>
          </cell>
          <cell r="D214">
            <v>37256</v>
          </cell>
          <cell r="E214">
            <v>62.5</v>
          </cell>
          <cell r="F214">
            <v>9869.36</v>
          </cell>
          <cell r="G214">
            <v>1792.77</v>
          </cell>
          <cell r="H214">
            <v>617.32000000000005</v>
          </cell>
          <cell r="I214">
            <v>882.76</v>
          </cell>
          <cell r="J214">
            <v>13162.21</v>
          </cell>
          <cell r="K214">
            <v>13162.21</v>
          </cell>
          <cell r="L214">
            <v>8739.27</v>
          </cell>
          <cell r="M214">
            <v>13.72</v>
          </cell>
          <cell r="N214">
            <v>13.72</v>
          </cell>
          <cell r="O214">
            <v>23.57</v>
          </cell>
        </row>
        <row r="215">
          <cell r="A215" t="str">
            <v>01980</v>
          </cell>
          <cell r="B215">
            <v>79800008</v>
          </cell>
          <cell r="C215">
            <v>36892</v>
          </cell>
          <cell r="D215">
            <v>37256</v>
          </cell>
          <cell r="E215">
            <v>79.700000000000728</v>
          </cell>
          <cell r="F215">
            <v>5210.76</v>
          </cell>
          <cell r="G215">
            <v>4696.04</v>
          </cell>
          <cell r="H215">
            <v>2522.0300000000002</v>
          </cell>
          <cell r="I215">
            <v>4269.6099999999997</v>
          </cell>
          <cell r="J215">
            <v>16698.439999999999</v>
          </cell>
          <cell r="K215">
            <v>16698.439999999999</v>
          </cell>
          <cell r="L215">
            <v>2306.06</v>
          </cell>
          <cell r="M215">
            <v>63</v>
          </cell>
          <cell r="N215">
            <v>63</v>
          </cell>
          <cell r="O215">
            <v>114</v>
          </cell>
        </row>
        <row r="216">
          <cell r="A216" t="str">
            <v>01990</v>
          </cell>
          <cell r="B216">
            <v>79800009</v>
          </cell>
          <cell r="C216">
            <v>36892</v>
          </cell>
          <cell r="D216">
            <v>37256</v>
          </cell>
          <cell r="E216">
            <v>82.6299999999992</v>
          </cell>
          <cell r="F216">
            <v>4829.13</v>
          </cell>
          <cell r="G216">
            <v>5920.68</v>
          </cell>
          <cell r="H216">
            <v>3372.05</v>
          </cell>
          <cell r="I216">
            <v>4247.13</v>
          </cell>
          <cell r="J216">
            <v>18368.990000000002</v>
          </cell>
          <cell r="K216">
            <v>18368.990000000002</v>
          </cell>
          <cell r="L216">
            <v>1703.89</v>
          </cell>
          <cell r="M216">
            <v>85.18</v>
          </cell>
          <cell r="N216">
            <v>85.18</v>
          </cell>
          <cell r="O216">
            <v>113.4</v>
          </cell>
        </row>
        <row r="217">
          <cell r="A217" t="str">
            <v>02000</v>
          </cell>
          <cell r="B217">
            <v>79800010</v>
          </cell>
          <cell r="C217">
            <v>36892</v>
          </cell>
          <cell r="D217">
            <v>37256</v>
          </cell>
          <cell r="E217">
            <v>62.5</v>
          </cell>
          <cell r="F217">
            <v>7057.34</v>
          </cell>
          <cell r="G217">
            <v>2638.53</v>
          </cell>
          <cell r="H217">
            <v>1226.18</v>
          </cell>
          <cell r="I217">
            <v>1905.22</v>
          </cell>
          <cell r="J217">
            <v>12827.27</v>
          </cell>
          <cell r="K217">
            <v>12827.27</v>
          </cell>
          <cell r="L217">
            <v>5369.17</v>
          </cell>
          <cell r="M217">
            <v>29.69</v>
          </cell>
          <cell r="N217">
            <v>29.69</v>
          </cell>
          <cell r="O217">
            <v>50.87</v>
          </cell>
        </row>
        <row r="218">
          <cell r="A218" t="str">
            <v>02010</v>
          </cell>
          <cell r="B218">
            <v>79800011</v>
          </cell>
          <cell r="C218">
            <v>36892</v>
          </cell>
          <cell r="D218">
            <v>37256</v>
          </cell>
          <cell r="E218">
            <v>79.700000000000728</v>
          </cell>
          <cell r="F218">
            <v>4811.96</v>
          </cell>
          <cell r="G218">
            <v>5906.71</v>
          </cell>
          <cell r="H218">
            <v>3393.56</v>
          </cell>
          <cell r="I218">
            <v>3804.07</v>
          </cell>
          <cell r="J218">
            <v>17916.3</v>
          </cell>
          <cell r="K218">
            <v>17916.3</v>
          </cell>
          <cell r="L218">
            <v>1828.13</v>
          </cell>
          <cell r="M218">
            <v>85.86</v>
          </cell>
          <cell r="N218">
            <v>85.86</v>
          </cell>
          <cell r="O218">
            <v>101.57</v>
          </cell>
        </row>
        <row r="219">
          <cell r="A219" t="str">
            <v>02020</v>
          </cell>
          <cell r="B219">
            <v>79800012</v>
          </cell>
          <cell r="C219">
            <v>36892</v>
          </cell>
          <cell r="D219">
            <v>37256</v>
          </cell>
          <cell r="E219">
            <v>82.6299999999992</v>
          </cell>
          <cell r="F219">
            <v>9367.19</v>
          </cell>
          <cell r="G219">
            <v>5900.03</v>
          </cell>
          <cell r="H219">
            <v>3357.18</v>
          </cell>
          <cell r="I219">
            <v>3282.73</v>
          </cell>
          <cell r="J219">
            <v>21907.13</v>
          </cell>
          <cell r="K219">
            <v>21907.13</v>
          </cell>
          <cell r="L219">
            <v>7142.6</v>
          </cell>
          <cell r="M219">
            <v>84.79</v>
          </cell>
          <cell r="N219">
            <v>84.79</v>
          </cell>
          <cell r="O219">
            <v>87.65</v>
          </cell>
        </row>
        <row r="220">
          <cell r="A220" t="str">
            <v>02030</v>
          </cell>
          <cell r="B220">
            <v>79800013</v>
          </cell>
          <cell r="C220">
            <v>36892</v>
          </cell>
          <cell r="D220">
            <v>37256</v>
          </cell>
          <cell r="E220">
            <v>105.1</v>
          </cell>
          <cell r="F220">
            <v>16313.1</v>
          </cell>
          <cell r="G220">
            <v>6063.54</v>
          </cell>
          <cell r="H220">
            <v>3232.85</v>
          </cell>
          <cell r="I220">
            <v>2998.47</v>
          </cell>
          <cell r="J220">
            <v>28607.96</v>
          </cell>
          <cell r="K220">
            <v>28607.96</v>
          </cell>
          <cell r="L220">
            <v>14356.53</v>
          </cell>
          <cell r="M220">
            <v>80.64</v>
          </cell>
          <cell r="N220">
            <v>80.64</v>
          </cell>
          <cell r="O220">
            <v>80.06</v>
          </cell>
        </row>
        <row r="221">
          <cell r="A221" t="str">
            <v>02040</v>
          </cell>
          <cell r="B221">
            <v>79800014</v>
          </cell>
          <cell r="C221">
            <v>36892</v>
          </cell>
          <cell r="D221">
            <v>37256</v>
          </cell>
          <cell r="E221">
            <v>61.729999999999563</v>
          </cell>
          <cell r="F221">
            <v>5947.2</v>
          </cell>
          <cell r="G221">
            <v>3397.55</v>
          </cell>
          <cell r="H221">
            <v>1780.87</v>
          </cell>
          <cell r="I221">
            <v>995.86</v>
          </cell>
          <cell r="J221">
            <v>12121.48</v>
          </cell>
          <cell r="K221">
            <v>12121.48</v>
          </cell>
          <cell r="L221">
            <v>4076.76</v>
          </cell>
          <cell r="M221">
            <v>44.27</v>
          </cell>
          <cell r="N221">
            <v>44.27</v>
          </cell>
          <cell r="O221">
            <v>26.59</v>
          </cell>
        </row>
        <row r="222">
          <cell r="A222" t="str">
            <v>02290</v>
          </cell>
          <cell r="B222">
            <v>79800101</v>
          </cell>
          <cell r="C222">
            <v>36892</v>
          </cell>
          <cell r="D222">
            <v>37164</v>
          </cell>
          <cell r="E222">
            <v>22.649999999999636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A223" t="str">
            <v>02290</v>
          </cell>
          <cell r="B223">
            <v>79800101</v>
          </cell>
          <cell r="C223">
            <v>37165</v>
          </cell>
          <cell r="D223">
            <v>37256</v>
          </cell>
          <cell r="E223">
            <v>22.65</v>
          </cell>
          <cell r="F223">
            <v>0</v>
          </cell>
          <cell r="G223">
            <v>0</v>
          </cell>
          <cell r="H223">
            <v>0</v>
          </cell>
          <cell r="I223">
            <v>898.86</v>
          </cell>
          <cell r="J223">
            <v>898.86</v>
          </cell>
          <cell r="K223">
            <v>898.86</v>
          </cell>
          <cell r="L223">
            <v>0</v>
          </cell>
          <cell r="M223">
            <v>0</v>
          </cell>
          <cell r="N223">
            <v>0</v>
          </cell>
          <cell r="O223">
            <v>24</v>
          </cell>
        </row>
        <row r="224">
          <cell r="A224" t="str">
            <v>02050</v>
          </cell>
          <cell r="B224">
            <v>79800601</v>
          </cell>
          <cell r="C224">
            <v>36892</v>
          </cell>
          <cell r="D224">
            <v>37256</v>
          </cell>
          <cell r="E224">
            <v>70.030000000000655</v>
          </cell>
          <cell r="F224">
            <v>0</v>
          </cell>
          <cell r="G224">
            <v>0</v>
          </cell>
          <cell r="H224">
            <v>0</v>
          </cell>
          <cell r="I224">
            <v>146.07</v>
          </cell>
          <cell r="J224">
            <v>146.07</v>
          </cell>
          <cell r="K224">
            <v>146.07</v>
          </cell>
          <cell r="L224">
            <v>0</v>
          </cell>
          <cell r="M224">
            <v>0</v>
          </cell>
          <cell r="N224">
            <v>0</v>
          </cell>
          <cell r="O224">
            <v>3.9</v>
          </cell>
        </row>
        <row r="225">
          <cell r="A225" t="str">
            <v>02060</v>
          </cell>
          <cell r="B225">
            <v>79800602</v>
          </cell>
          <cell r="C225">
            <v>36892</v>
          </cell>
          <cell r="D225">
            <v>37256</v>
          </cell>
          <cell r="E225">
            <v>219.5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A226" t="str">
            <v>02070</v>
          </cell>
          <cell r="B226">
            <v>79800603</v>
          </cell>
          <cell r="C226">
            <v>36892</v>
          </cell>
          <cell r="D226">
            <v>37256</v>
          </cell>
          <cell r="E226">
            <v>73.819999999999709</v>
          </cell>
          <cell r="F226">
            <v>0</v>
          </cell>
          <cell r="G226">
            <v>0</v>
          </cell>
          <cell r="H226">
            <v>0</v>
          </cell>
          <cell r="I226">
            <v>575.65</v>
          </cell>
          <cell r="J226">
            <v>575.65</v>
          </cell>
          <cell r="K226">
            <v>575.65</v>
          </cell>
          <cell r="L226">
            <v>0</v>
          </cell>
          <cell r="M226">
            <v>0</v>
          </cell>
          <cell r="N226">
            <v>0</v>
          </cell>
          <cell r="O226">
            <v>15.37</v>
          </cell>
        </row>
        <row r="227">
          <cell r="A227" t="str">
            <v>02080</v>
          </cell>
          <cell r="B227">
            <v>79900001</v>
          </cell>
          <cell r="C227">
            <v>36892</v>
          </cell>
          <cell r="D227">
            <v>37256</v>
          </cell>
          <cell r="E227">
            <v>67.920000000000073</v>
          </cell>
          <cell r="F227">
            <v>6396.7</v>
          </cell>
          <cell r="G227">
            <v>2171.21</v>
          </cell>
          <cell r="H227">
            <v>831.36</v>
          </cell>
          <cell r="I227">
            <v>1835.93</v>
          </cell>
          <cell r="J227">
            <v>11235.2</v>
          </cell>
          <cell r="K227">
            <v>11235.2</v>
          </cell>
          <cell r="L227">
            <v>4309.5600000000004</v>
          </cell>
          <cell r="M227">
            <v>19.12</v>
          </cell>
          <cell r="N227">
            <v>19.12</v>
          </cell>
          <cell r="O227">
            <v>49.02</v>
          </cell>
        </row>
        <row r="228">
          <cell r="A228" t="str">
            <v>02090</v>
          </cell>
          <cell r="B228">
            <v>79900002</v>
          </cell>
          <cell r="C228">
            <v>36892</v>
          </cell>
          <cell r="D228">
            <v>37256</v>
          </cell>
          <cell r="E228">
            <v>43.829999999999927</v>
          </cell>
          <cell r="F228">
            <v>6209.11</v>
          </cell>
          <cell r="G228">
            <v>3243.15</v>
          </cell>
          <cell r="H228">
            <v>1862.53</v>
          </cell>
          <cell r="I228">
            <v>1637.81</v>
          </cell>
          <cell r="J228">
            <v>12952.6</v>
          </cell>
          <cell r="K228">
            <v>12952.6</v>
          </cell>
          <cell r="L228">
            <v>5275.27</v>
          </cell>
          <cell r="M228">
            <v>47.12</v>
          </cell>
          <cell r="N228">
            <v>47.12</v>
          </cell>
          <cell r="O228">
            <v>43.73</v>
          </cell>
        </row>
        <row r="229">
          <cell r="A229" t="str">
            <v>02100</v>
          </cell>
          <cell r="B229">
            <v>79900003</v>
          </cell>
          <cell r="C229">
            <v>36892</v>
          </cell>
          <cell r="D229">
            <v>37256</v>
          </cell>
          <cell r="E229">
            <v>44.229999999999563</v>
          </cell>
          <cell r="F229">
            <v>4931.6899999999996</v>
          </cell>
          <cell r="G229">
            <v>2542.96</v>
          </cell>
          <cell r="H229">
            <v>1354.16</v>
          </cell>
          <cell r="I229">
            <v>2093.23</v>
          </cell>
          <cell r="J229">
            <v>10922.04</v>
          </cell>
          <cell r="K229">
            <v>10922.04</v>
          </cell>
          <cell r="L229">
            <v>3724.57</v>
          </cell>
          <cell r="M229">
            <v>33.770000000000003</v>
          </cell>
          <cell r="N229">
            <v>33.770000000000003</v>
          </cell>
          <cell r="O229">
            <v>55.89</v>
          </cell>
        </row>
        <row r="230">
          <cell r="A230" t="str">
            <v>02110</v>
          </cell>
          <cell r="B230">
            <v>79900004</v>
          </cell>
          <cell r="C230">
            <v>36892</v>
          </cell>
          <cell r="D230">
            <v>37256</v>
          </cell>
          <cell r="E230">
            <v>58.780000000000655</v>
          </cell>
          <cell r="F230">
            <v>6047.67</v>
          </cell>
          <cell r="G230">
            <v>4474.76</v>
          </cell>
          <cell r="H230">
            <v>2588.08</v>
          </cell>
          <cell r="I230">
            <v>2820.93</v>
          </cell>
          <cell r="J230">
            <v>15931.44</v>
          </cell>
          <cell r="K230">
            <v>15931.44</v>
          </cell>
          <cell r="L230">
            <v>4342.96</v>
          </cell>
          <cell r="M230">
            <v>65.56</v>
          </cell>
          <cell r="N230">
            <v>65.56</v>
          </cell>
          <cell r="O230">
            <v>75.319999999999993</v>
          </cell>
        </row>
        <row r="231">
          <cell r="A231" t="str">
            <v>02120</v>
          </cell>
          <cell r="B231">
            <v>79900005</v>
          </cell>
          <cell r="C231">
            <v>36892</v>
          </cell>
          <cell r="D231">
            <v>37256</v>
          </cell>
          <cell r="E231">
            <v>60.920000000000073</v>
          </cell>
          <cell r="F231">
            <v>4376.2299999999996</v>
          </cell>
          <cell r="G231">
            <v>3051.15</v>
          </cell>
          <cell r="H231">
            <v>1540.22</v>
          </cell>
          <cell r="I231">
            <v>2231.44</v>
          </cell>
          <cell r="J231">
            <v>11199.04</v>
          </cell>
          <cell r="K231">
            <v>11199.04</v>
          </cell>
          <cell r="L231">
            <v>2234.0300000000002</v>
          </cell>
          <cell r="M231">
            <v>37.99</v>
          </cell>
          <cell r="N231">
            <v>37.99</v>
          </cell>
          <cell r="O231">
            <v>59.58</v>
          </cell>
        </row>
        <row r="232">
          <cell r="A232" t="str">
            <v>02130</v>
          </cell>
          <cell r="B232">
            <v>79900006</v>
          </cell>
          <cell r="C232">
            <v>36892</v>
          </cell>
          <cell r="D232">
            <v>37256</v>
          </cell>
          <cell r="E232">
            <v>43.829999999999927</v>
          </cell>
          <cell r="F232">
            <v>3742.7</v>
          </cell>
          <cell r="G232">
            <v>3404.68</v>
          </cell>
          <cell r="H232">
            <v>1978.8</v>
          </cell>
          <cell r="I232">
            <v>1864.77</v>
          </cell>
          <cell r="J232">
            <v>10990.95</v>
          </cell>
          <cell r="K232">
            <v>10990.95</v>
          </cell>
          <cell r="L232">
            <v>2319.38</v>
          </cell>
          <cell r="M232">
            <v>50.17</v>
          </cell>
          <cell r="N232">
            <v>50.17</v>
          </cell>
          <cell r="O232">
            <v>49.79</v>
          </cell>
        </row>
        <row r="233">
          <cell r="A233" t="str">
            <v>02140</v>
          </cell>
          <cell r="B233">
            <v>79900007</v>
          </cell>
          <cell r="C233">
            <v>36892</v>
          </cell>
          <cell r="D233">
            <v>37256</v>
          </cell>
          <cell r="E233">
            <v>44.229999999999563</v>
          </cell>
          <cell r="F233">
            <v>3956.62</v>
          </cell>
          <cell r="G233">
            <v>2605.98</v>
          </cell>
          <cell r="H233">
            <v>1399.54</v>
          </cell>
          <cell r="I233">
            <v>1495.86</v>
          </cell>
          <cell r="J233">
            <v>9458</v>
          </cell>
          <cell r="K233">
            <v>9458</v>
          </cell>
          <cell r="L233">
            <v>2555.9899999999998</v>
          </cell>
          <cell r="M233">
            <v>34.96</v>
          </cell>
          <cell r="N233">
            <v>34.96</v>
          </cell>
          <cell r="O233">
            <v>39.94</v>
          </cell>
        </row>
        <row r="234">
          <cell r="A234" t="str">
            <v>02150</v>
          </cell>
          <cell r="B234">
            <v>79900008</v>
          </cell>
          <cell r="C234">
            <v>36892</v>
          </cell>
          <cell r="D234">
            <v>37256</v>
          </cell>
          <cell r="E234">
            <v>58.780000000000655</v>
          </cell>
          <cell r="F234">
            <v>13463.31</v>
          </cell>
          <cell r="G234">
            <v>4281.45</v>
          </cell>
          <cell r="H234">
            <v>2448.9299999999998</v>
          </cell>
          <cell r="I234">
            <v>2295.85</v>
          </cell>
          <cell r="J234">
            <v>22489.54</v>
          </cell>
          <cell r="K234">
            <v>22489.54</v>
          </cell>
          <cell r="L234">
            <v>13230.34</v>
          </cell>
          <cell r="M234">
            <v>61.91</v>
          </cell>
          <cell r="N234">
            <v>61.91</v>
          </cell>
          <cell r="O234">
            <v>61.3</v>
          </cell>
        </row>
        <row r="235">
          <cell r="A235" t="str">
            <v>02160</v>
          </cell>
          <cell r="B235">
            <v>79900009</v>
          </cell>
          <cell r="C235">
            <v>36892</v>
          </cell>
          <cell r="D235">
            <v>37256</v>
          </cell>
          <cell r="E235">
            <v>60.920000000000073</v>
          </cell>
          <cell r="F235">
            <v>6138.2</v>
          </cell>
          <cell r="G235">
            <v>4534.57</v>
          </cell>
          <cell r="H235">
            <v>2608.09</v>
          </cell>
          <cell r="I235">
            <v>3820.17</v>
          </cell>
          <cell r="J235">
            <v>17101.03</v>
          </cell>
          <cell r="K235">
            <v>17101.03</v>
          </cell>
          <cell r="L235">
            <v>4345.6899999999996</v>
          </cell>
          <cell r="M235">
            <v>66</v>
          </cell>
          <cell r="N235">
            <v>66</v>
          </cell>
          <cell r="O235">
            <v>102</v>
          </cell>
        </row>
        <row r="236">
          <cell r="A236" t="str">
            <v>02170</v>
          </cell>
          <cell r="B236">
            <v>79900010</v>
          </cell>
          <cell r="C236">
            <v>36892</v>
          </cell>
          <cell r="D236">
            <v>37256</v>
          </cell>
          <cell r="E236">
            <v>43.829999999999927</v>
          </cell>
          <cell r="F236">
            <v>3364.97</v>
          </cell>
          <cell r="G236">
            <v>2106.09</v>
          </cell>
          <cell r="H236">
            <v>1043.98</v>
          </cell>
          <cell r="I236">
            <v>1336.69</v>
          </cell>
          <cell r="J236">
            <v>7851.73</v>
          </cell>
          <cell r="K236">
            <v>7851.73</v>
          </cell>
          <cell r="L236">
            <v>1866.67</v>
          </cell>
          <cell r="M236">
            <v>25.65</v>
          </cell>
          <cell r="N236">
            <v>25.65</v>
          </cell>
          <cell r="O236">
            <v>35.69</v>
          </cell>
        </row>
        <row r="237">
          <cell r="A237" t="str">
            <v>02180</v>
          </cell>
          <cell r="B237">
            <v>79900011</v>
          </cell>
          <cell r="C237">
            <v>36892</v>
          </cell>
          <cell r="D237">
            <v>37256</v>
          </cell>
          <cell r="E237">
            <v>44.229999999999563</v>
          </cell>
          <cell r="F237">
            <v>2712.09</v>
          </cell>
          <cell r="G237">
            <v>2056.2600000000002</v>
          </cell>
          <cell r="H237">
            <v>1003.8</v>
          </cell>
          <cell r="I237">
            <v>574.9</v>
          </cell>
          <cell r="J237">
            <v>6347.05</v>
          </cell>
          <cell r="K237">
            <v>6347.05</v>
          </cell>
          <cell r="L237">
            <v>1064.47</v>
          </cell>
          <cell r="M237">
            <v>24.58</v>
          </cell>
          <cell r="N237">
            <v>24.58</v>
          </cell>
          <cell r="O237">
            <v>15.35</v>
          </cell>
        </row>
        <row r="238">
          <cell r="A238" t="str">
            <v>02190</v>
          </cell>
          <cell r="B238">
            <v>79900012</v>
          </cell>
          <cell r="C238">
            <v>36892</v>
          </cell>
          <cell r="D238">
            <v>37256</v>
          </cell>
          <cell r="E238">
            <v>58.780000000000655</v>
          </cell>
          <cell r="F238">
            <v>7188.76</v>
          </cell>
          <cell r="G238">
            <v>3544.77</v>
          </cell>
          <cell r="H238">
            <v>1918.63</v>
          </cell>
          <cell r="I238">
            <v>1086.1300000000001</v>
          </cell>
          <cell r="J238">
            <v>13738.29</v>
          </cell>
          <cell r="K238">
            <v>13738.29</v>
          </cell>
          <cell r="L238">
            <v>5710.51</v>
          </cell>
          <cell r="M238">
            <v>48</v>
          </cell>
          <cell r="N238">
            <v>48</v>
          </cell>
          <cell r="O238">
            <v>29</v>
          </cell>
        </row>
        <row r="239">
          <cell r="A239" t="str">
            <v>02200</v>
          </cell>
          <cell r="B239">
            <v>79900013</v>
          </cell>
          <cell r="C239">
            <v>36892</v>
          </cell>
          <cell r="D239">
            <v>37256</v>
          </cell>
          <cell r="E239">
            <v>60.920000000000073</v>
          </cell>
          <cell r="F239">
            <v>6766.32</v>
          </cell>
          <cell r="G239">
            <v>4799.38</v>
          </cell>
          <cell r="H239">
            <v>2798.7</v>
          </cell>
          <cell r="I239">
            <v>3071.12</v>
          </cell>
          <cell r="J239">
            <v>17435.52</v>
          </cell>
          <cell r="K239">
            <v>17435.52</v>
          </cell>
          <cell r="L239">
            <v>5098.47</v>
          </cell>
          <cell r="M239">
            <v>71</v>
          </cell>
          <cell r="N239">
            <v>71</v>
          </cell>
          <cell r="O239">
            <v>82</v>
          </cell>
        </row>
        <row r="240">
          <cell r="A240" t="str">
            <v>02210</v>
          </cell>
          <cell r="B240">
            <v>79900014</v>
          </cell>
          <cell r="C240">
            <v>36892</v>
          </cell>
          <cell r="D240">
            <v>37256</v>
          </cell>
          <cell r="E240">
            <v>43.829999999999927</v>
          </cell>
          <cell r="F240">
            <v>3836.42</v>
          </cell>
          <cell r="G240">
            <v>896.48</v>
          </cell>
          <cell r="H240">
            <v>173.23</v>
          </cell>
          <cell r="I240">
            <v>216.48</v>
          </cell>
          <cell r="J240">
            <v>5122.6099999999997</v>
          </cell>
          <cell r="K240">
            <v>5122.6099999999997</v>
          </cell>
          <cell r="L240">
            <v>2431.6999999999998</v>
          </cell>
          <cell r="M240">
            <v>2.81</v>
          </cell>
          <cell r="N240">
            <v>2.81</v>
          </cell>
          <cell r="O240">
            <v>5.78</v>
          </cell>
        </row>
        <row r="241">
          <cell r="A241" t="str">
            <v>02220</v>
          </cell>
          <cell r="B241">
            <v>79900015</v>
          </cell>
          <cell r="C241">
            <v>36892</v>
          </cell>
          <cell r="D241">
            <v>37256</v>
          </cell>
          <cell r="E241">
            <v>44.229999999999563</v>
          </cell>
          <cell r="F241">
            <v>3087.41</v>
          </cell>
          <cell r="G241">
            <v>2410.0300000000002</v>
          </cell>
          <cell r="H241">
            <v>1258.48</v>
          </cell>
          <cell r="I241">
            <v>718.34</v>
          </cell>
          <cell r="J241">
            <v>7474.26</v>
          </cell>
          <cell r="K241">
            <v>7474.26</v>
          </cell>
          <cell r="L241">
            <v>1514.27</v>
          </cell>
          <cell r="M241">
            <v>31.26</v>
          </cell>
          <cell r="N241">
            <v>31.26</v>
          </cell>
          <cell r="O241">
            <v>19.18</v>
          </cell>
        </row>
        <row r="242">
          <cell r="A242" t="str">
            <v>02230</v>
          </cell>
          <cell r="B242">
            <v>79900016</v>
          </cell>
          <cell r="C242">
            <v>36892</v>
          </cell>
          <cell r="D242">
            <v>37256</v>
          </cell>
          <cell r="E242">
            <v>58.780000000000655</v>
          </cell>
          <cell r="F242">
            <v>14055.77</v>
          </cell>
          <cell r="G242">
            <v>3329.76</v>
          </cell>
          <cell r="H242">
            <v>1763.83</v>
          </cell>
          <cell r="I242">
            <v>1599.23</v>
          </cell>
          <cell r="J242">
            <v>20748.59</v>
          </cell>
          <cell r="K242">
            <v>20748.59</v>
          </cell>
          <cell r="L242">
            <v>13940.39</v>
          </cell>
          <cell r="M242">
            <v>43.94</v>
          </cell>
          <cell r="N242">
            <v>43.94</v>
          </cell>
          <cell r="O242">
            <v>42.7</v>
          </cell>
        </row>
        <row r="243">
          <cell r="A243" t="str">
            <v>02240</v>
          </cell>
          <cell r="B243">
            <v>79900017</v>
          </cell>
          <cell r="C243">
            <v>36892</v>
          </cell>
          <cell r="D243">
            <v>37256</v>
          </cell>
          <cell r="E243">
            <v>70.329999999999927</v>
          </cell>
          <cell r="F243">
            <v>11373.33</v>
          </cell>
          <cell r="G243">
            <v>5456.12</v>
          </cell>
          <cell r="H243">
            <v>3170.12</v>
          </cell>
          <cell r="I243">
            <v>2405.96</v>
          </cell>
          <cell r="J243">
            <v>22405.53</v>
          </cell>
          <cell r="K243">
            <v>22405.53</v>
          </cell>
          <cell r="L243">
            <v>10154.75</v>
          </cell>
          <cell r="M243">
            <v>80.37</v>
          </cell>
          <cell r="N243">
            <v>80.37</v>
          </cell>
          <cell r="O243">
            <v>64.239999999999995</v>
          </cell>
        </row>
        <row r="244">
          <cell r="A244" t="str">
            <v>02250</v>
          </cell>
          <cell r="B244">
            <v>79900601</v>
          </cell>
          <cell r="C244">
            <v>36892</v>
          </cell>
          <cell r="D244">
            <v>37256</v>
          </cell>
          <cell r="E244">
            <v>99.399999999999636</v>
          </cell>
          <cell r="F244">
            <v>0</v>
          </cell>
          <cell r="G244">
            <v>0</v>
          </cell>
          <cell r="H244">
            <v>0</v>
          </cell>
          <cell r="I244">
            <v>2703.34</v>
          </cell>
          <cell r="J244">
            <v>2703.34</v>
          </cell>
          <cell r="K244">
            <v>2703.34</v>
          </cell>
          <cell r="L244">
            <v>0</v>
          </cell>
          <cell r="M244">
            <v>0</v>
          </cell>
          <cell r="N244">
            <v>0</v>
          </cell>
          <cell r="O244">
            <v>72.180000000000007</v>
          </cell>
        </row>
        <row r="245">
          <cell r="A245" t="str">
            <v>02260</v>
          </cell>
          <cell r="B245">
            <v>79900602</v>
          </cell>
          <cell r="C245">
            <v>36892</v>
          </cell>
          <cell r="D245">
            <v>37256</v>
          </cell>
          <cell r="E245">
            <v>50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A246" t="str">
            <v>02270</v>
          </cell>
          <cell r="B246">
            <v>79900603</v>
          </cell>
          <cell r="C246">
            <v>36892</v>
          </cell>
          <cell r="D246">
            <v>37256</v>
          </cell>
          <cell r="E246">
            <v>49.66</v>
          </cell>
          <cell r="F246">
            <v>0</v>
          </cell>
          <cell r="G246">
            <v>0</v>
          </cell>
          <cell r="H246">
            <v>0</v>
          </cell>
          <cell r="I246">
            <v>235.95</v>
          </cell>
          <cell r="J246">
            <v>235.95</v>
          </cell>
          <cell r="K246">
            <v>235.95</v>
          </cell>
          <cell r="L246">
            <v>0</v>
          </cell>
          <cell r="M246">
            <v>0</v>
          </cell>
          <cell r="N246">
            <v>0</v>
          </cell>
          <cell r="O246">
            <v>6.3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X4" dT="2022-05-20T08:36:27.22" personId="{00000000-0000-0000-0000-000000000000}" id="{2672AB60-C925-3143-BD6C-31F56181C8D7}">
    <text>Chybí údaje ve FA</text>
  </threadedComment>
  <threadedComment ref="U10" dT="2022-05-20T08:35:38.15" personId="{00000000-0000-0000-0000-000000000000}" id="{DE94B105-A21E-2F42-A5E4-C94E83C04DDB}">
    <text>Chybí údaje ve FA</text>
  </threadedComment>
  <threadedComment ref="V10" dT="2022-05-20T08:35:59.71" personId="{00000000-0000-0000-0000-000000000000}" id="{058B0F3E-9A4A-3C43-8F98-47FD3ABE43B8}">
    <text xml:space="preserve">Chybí údaje ve FA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Relationship Id="rId4" Type="http://schemas.microsoft.com/office/2017/10/relationships/threadedComment" Target="../threadedComments/threadedComment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7AFB6"/>
    <pageSetUpPr fitToPage="1"/>
  </sheetPr>
  <dimension ref="B2:AA101"/>
  <sheetViews>
    <sheetView showGridLines="0" topLeftCell="A22" zoomScale="85" zoomScaleNormal="85" workbookViewId="0">
      <selection activeCell="M88" sqref="M88"/>
    </sheetView>
  </sheetViews>
  <sheetFormatPr defaultRowHeight="12.75" outlineLevelCol="1"/>
  <cols>
    <col min="1" max="1" width="1.7109375" style="637" customWidth="1"/>
    <col min="2" max="2" width="9.140625" style="637"/>
    <col min="3" max="3" width="25" style="637" customWidth="1"/>
    <col min="4" max="4" width="13.140625" style="637" customWidth="1"/>
    <col min="5" max="5" width="17.28515625" style="637" customWidth="1"/>
    <col min="6" max="6" width="11.5703125" style="637" customWidth="1"/>
    <col min="7" max="8" width="11.85546875" style="637" customWidth="1"/>
    <col min="9" max="9" width="11.140625" style="637" customWidth="1"/>
    <col min="10" max="10" width="11.7109375" style="637" customWidth="1"/>
    <col min="11" max="11" width="12.7109375" style="637" customWidth="1"/>
    <col min="12" max="12" width="11.7109375" style="637" customWidth="1"/>
    <col min="13" max="14" width="12" style="637" customWidth="1"/>
    <col min="15" max="16" width="11.140625" style="637" customWidth="1"/>
    <col min="17" max="18" width="11.140625" style="637" hidden="1" customWidth="1" outlineLevel="1"/>
    <col min="19" max="19" width="11.5703125" style="637" hidden="1" customWidth="1" outlineLevel="1"/>
    <col min="20" max="22" width="11.140625" style="637" hidden="1" customWidth="1" outlineLevel="1"/>
    <col min="23" max="23" width="11.5703125" style="637" hidden="1" customWidth="1" outlineLevel="1"/>
    <col min="24" max="24" width="11.140625" style="637" hidden="1" customWidth="1" outlineLevel="1"/>
    <col min="25" max="25" width="12.140625" style="637" hidden="1" customWidth="1" outlineLevel="1"/>
    <col min="26" max="26" width="10.7109375" style="637" customWidth="1" collapsed="1"/>
    <col min="27" max="27" width="11" style="637" customWidth="1"/>
    <col min="28" max="16384" width="9.140625" style="637"/>
  </cols>
  <sheetData>
    <row r="2" spans="2:27" ht="18.75" customHeight="1" thickBot="1">
      <c r="B2" s="634" t="s">
        <v>156</v>
      </c>
      <c r="C2" s="635"/>
      <c r="D2" s="1175" t="s">
        <v>157</v>
      </c>
      <c r="E2" s="1176"/>
      <c r="F2" s="1177"/>
      <c r="G2" s="1177"/>
      <c r="H2" s="1177"/>
      <c r="I2" s="1177"/>
      <c r="J2" s="1177"/>
      <c r="K2" s="1177"/>
      <c r="L2" s="1177"/>
      <c r="M2" s="1177"/>
      <c r="N2" s="1177"/>
      <c r="O2" s="1177"/>
      <c r="P2" s="1177"/>
      <c r="Q2" s="1177"/>
      <c r="R2" s="1177"/>
      <c r="S2" s="1177"/>
      <c r="T2" s="1177"/>
      <c r="U2" s="1177"/>
      <c r="V2" s="1177"/>
      <c r="W2" s="1177"/>
      <c r="X2" s="1177"/>
      <c r="Y2" s="1178"/>
      <c r="Z2" s="636"/>
    </row>
    <row r="3" spans="2:27">
      <c r="B3" s="1179" t="s">
        <v>158</v>
      </c>
      <c r="C3" s="1181" t="s">
        <v>159</v>
      </c>
      <c r="D3" s="1183" t="s">
        <v>160</v>
      </c>
      <c r="E3" s="1185" t="s">
        <v>161</v>
      </c>
      <c r="F3" s="638" t="s">
        <v>162</v>
      </c>
      <c r="G3" s="639" t="s">
        <v>163</v>
      </c>
      <c r="H3" s="639" t="s">
        <v>164</v>
      </c>
      <c r="I3" s="639" t="s">
        <v>165</v>
      </c>
      <c r="J3" s="639" t="s">
        <v>166</v>
      </c>
      <c r="K3" s="639" t="s">
        <v>167</v>
      </c>
      <c r="L3" s="639" t="s">
        <v>168</v>
      </c>
      <c r="M3" s="639" t="s">
        <v>169</v>
      </c>
      <c r="N3" s="639" t="s">
        <v>170</v>
      </c>
      <c r="O3" s="639" t="s">
        <v>171</v>
      </c>
      <c r="P3" s="640" t="s">
        <v>172</v>
      </c>
      <c r="Q3" s="639" t="s">
        <v>173</v>
      </c>
      <c r="R3" s="639" t="s">
        <v>174</v>
      </c>
      <c r="S3" s="639" t="s">
        <v>175</v>
      </c>
      <c r="T3" s="639" t="s">
        <v>176</v>
      </c>
      <c r="U3" s="639" t="s">
        <v>177</v>
      </c>
      <c r="V3" s="639" t="s">
        <v>178</v>
      </c>
      <c r="W3" s="639" t="s">
        <v>179</v>
      </c>
      <c r="X3" s="639" t="s">
        <v>180</v>
      </c>
      <c r="Y3" s="641" t="s">
        <v>181</v>
      </c>
      <c r="AA3" s="642"/>
    </row>
    <row r="4" spans="2:27" ht="15" customHeight="1">
      <c r="B4" s="1180"/>
      <c r="C4" s="1182"/>
      <c r="D4" s="1184"/>
      <c r="E4" s="1186"/>
      <c r="F4" s="1187"/>
      <c r="G4" s="1174"/>
      <c r="H4" s="1174"/>
      <c r="I4" s="1174"/>
      <c r="J4" s="1174"/>
      <c r="K4" s="1174"/>
      <c r="L4" s="1174"/>
      <c r="M4" s="1174"/>
      <c r="N4" s="1174"/>
      <c r="O4" s="1174"/>
      <c r="P4" s="1174"/>
      <c r="Q4" s="1174"/>
      <c r="R4" s="1174"/>
      <c r="S4" s="1174"/>
      <c r="T4" s="1174"/>
      <c r="U4" s="1174"/>
      <c r="V4" s="1174"/>
      <c r="W4" s="1174"/>
      <c r="X4" s="1174"/>
      <c r="Y4" s="1188"/>
    </row>
    <row r="5" spans="2:27">
      <c r="B5" s="1180"/>
      <c r="C5" s="1182"/>
      <c r="D5" s="1184"/>
      <c r="E5" s="1186"/>
      <c r="F5" s="1187"/>
      <c r="G5" s="1174"/>
      <c r="H5" s="1174"/>
      <c r="I5" s="1174"/>
      <c r="J5" s="1174"/>
      <c r="K5" s="1174"/>
      <c r="L5" s="1174"/>
      <c r="M5" s="1174"/>
      <c r="N5" s="1174"/>
      <c r="O5" s="1174"/>
      <c r="P5" s="1174"/>
      <c r="Q5" s="1174"/>
      <c r="R5" s="1174"/>
      <c r="S5" s="1174"/>
      <c r="T5" s="1174"/>
      <c r="U5" s="1174"/>
      <c r="V5" s="1174"/>
      <c r="W5" s="1174"/>
      <c r="X5" s="1174"/>
      <c r="Y5" s="1188"/>
    </row>
    <row r="6" spans="2:27">
      <c r="B6" s="1180"/>
      <c r="C6" s="1182"/>
      <c r="D6" s="1184"/>
      <c r="E6" s="1186"/>
      <c r="F6" s="1187"/>
      <c r="G6" s="1174"/>
      <c r="H6" s="1174"/>
      <c r="I6" s="1174"/>
      <c r="J6" s="1174"/>
      <c r="K6" s="1174"/>
      <c r="L6" s="1174"/>
      <c r="M6" s="1174"/>
      <c r="N6" s="1174"/>
      <c r="O6" s="1174"/>
      <c r="P6" s="1174"/>
      <c r="Q6" s="1174"/>
      <c r="R6" s="1174"/>
      <c r="S6" s="1174"/>
      <c r="T6" s="1174"/>
      <c r="U6" s="1174"/>
      <c r="V6" s="1174"/>
      <c r="W6" s="1174"/>
      <c r="X6" s="1174"/>
      <c r="Y6" s="1188"/>
    </row>
    <row r="7" spans="2:27">
      <c r="B7" s="1180"/>
      <c r="C7" s="1182"/>
      <c r="D7" s="1184"/>
      <c r="E7" s="1186"/>
      <c r="F7" s="1187"/>
      <c r="G7" s="1174"/>
      <c r="H7" s="1174"/>
      <c r="I7" s="1174"/>
      <c r="J7" s="1174"/>
      <c r="K7" s="1174"/>
      <c r="L7" s="1174"/>
      <c r="M7" s="1174"/>
      <c r="N7" s="1174"/>
      <c r="O7" s="1174"/>
      <c r="P7" s="1174"/>
      <c r="Q7" s="1174"/>
      <c r="R7" s="1174"/>
      <c r="S7" s="1174"/>
      <c r="T7" s="1174"/>
      <c r="U7" s="1174"/>
      <c r="V7" s="1174"/>
      <c r="W7" s="1174"/>
      <c r="X7" s="1174"/>
      <c r="Y7" s="1188"/>
    </row>
    <row r="8" spans="2:27" ht="57.75" customHeight="1">
      <c r="B8" s="1180"/>
      <c r="C8" s="1182"/>
      <c r="D8" s="1184"/>
      <c r="E8" s="1186"/>
      <c r="F8" s="1187"/>
      <c r="G8" s="1174"/>
      <c r="H8" s="1174"/>
      <c r="I8" s="1174"/>
      <c r="J8" s="1174"/>
      <c r="K8" s="1174"/>
      <c r="L8" s="1174"/>
      <c r="M8" s="1174"/>
      <c r="N8" s="1174"/>
      <c r="O8" s="1174"/>
      <c r="P8" s="1174"/>
      <c r="Q8" s="1174"/>
      <c r="R8" s="1174"/>
      <c r="S8" s="1174"/>
      <c r="T8" s="1174"/>
      <c r="U8" s="1174"/>
      <c r="V8" s="1174"/>
      <c r="W8" s="1174"/>
      <c r="X8" s="1174"/>
      <c r="Y8" s="1188"/>
    </row>
    <row r="9" spans="2:27" ht="20.25" customHeight="1">
      <c r="B9" s="643">
        <v>1</v>
      </c>
      <c r="C9" s="994" t="s">
        <v>305</v>
      </c>
      <c r="D9" s="644">
        <f t="shared" ref="D9" si="0">SUM(F9:Y9)</f>
        <v>0</v>
      </c>
      <c r="E9" s="645" t="s">
        <v>182</v>
      </c>
      <c r="F9" s="646"/>
      <c r="G9" s="647"/>
      <c r="H9" s="647"/>
      <c r="I9" s="647"/>
      <c r="J9" s="647"/>
      <c r="K9" s="647"/>
      <c r="L9" s="647"/>
      <c r="M9" s="647"/>
      <c r="N9" s="647"/>
      <c r="O9" s="647"/>
      <c r="P9" s="647"/>
      <c r="Q9" s="647"/>
      <c r="R9" s="647"/>
      <c r="S9" s="647"/>
      <c r="T9" s="647"/>
      <c r="U9" s="647"/>
      <c r="V9" s="647"/>
      <c r="W9" s="647"/>
      <c r="X9" s="647"/>
      <c r="Y9" s="648"/>
      <c r="Z9" s="649" t="s">
        <v>183</v>
      </c>
    </row>
    <row r="10" spans="2:27" ht="20.25" customHeight="1">
      <c r="B10" s="643">
        <v>2</v>
      </c>
      <c r="C10" s="994" t="s">
        <v>10</v>
      </c>
      <c r="D10" s="644">
        <f t="shared" ref="D10:D24" si="1">SUM(F10:Y10)</f>
        <v>0</v>
      </c>
      <c r="E10" s="645" t="s">
        <v>182</v>
      </c>
      <c r="F10" s="646"/>
      <c r="G10" s="647"/>
      <c r="H10" s="647"/>
      <c r="I10" s="647"/>
      <c r="J10" s="647"/>
      <c r="K10" s="647"/>
      <c r="L10" s="647"/>
      <c r="M10" s="647"/>
      <c r="N10" s="647"/>
      <c r="O10" s="647"/>
      <c r="P10" s="647"/>
      <c r="Q10" s="647"/>
      <c r="R10" s="647"/>
      <c r="S10" s="647"/>
      <c r="T10" s="647"/>
      <c r="U10" s="647"/>
      <c r="V10" s="647"/>
      <c r="W10" s="647"/>
      <c r="X10" s="647"/>
      <c r="Y10" s="648"/>
      <c r="Z10" s="649" t="s">
        <v>183</v>
      </c>
    </row>
    <row r="11" spans="2:27" ht="20.25" customHeight="1">
      <c r="B11" s="643">
        <v>3</v>
      </c>
      <c r="C11" s="994" t="s">
        <v>11</v>
      </c>
      <c r="D11" s="644">
        <f t="shared" si="1"/>
        <v>0</v>
      </c>
      <c r="E11" s="645" t="s">
        <v>182</v>
      </c>
      <c r="F11" s="646"/>
      <c r="G11" s="647"/>
      <c r="H11" s="647"/>
      <c r="I11" s="647"/>
      <c r="J11" s="647"/>
      <c r="K11" s="647"/>
      <c r="L11" s="647"/>
      <c r="M11" s="647"/>
      <c r="N11" s="647"/>
      <c r="O11" s="647"/>
      <c r="P11" s="647"/>
      <c r="Q11" s="647"/>
      <c r="R11" s="647"/>
      <c r="S11" s="647"/>
      <c r="T11" s="647"/>
      <c r="U11" s="647"/>
      <c r="V11" s="647"/>
      <c r="W11" s="647"/>
      <c r="X11" s="647"/>
      <c r="Y11" s="648"/>
      <c r="Z11" s="649" t="s">
        <v>183</v>
      </c>
    </row>
    <row r="12" spans="2:27" ht="20.25" customHeight="1">
      <c r="B12" s="643">
        <v>4</v>
      </c>
      <c r="C12" s="994" t="s">
        <v>12</v>
      </c>
      <c r="D12" s="644">
        <f t="shared" si="1"/>
        <v>0</v>
      </c>
      <c r="E12" s="645" t="s">
        <v>182</v>
      </c>
      <c r="F12" s="646"/>
      <c r="G12" s="647"/>
      <c r="H12" s="647"/>
      <c r="I12" s="647"/>
      <c r="J12" s="647"/>
      <c r="K12" s="647"/>
      <c r="L12" s="647"/>
      <c r="M12" s="647"/>
      <c r="N12" s="647"/>
      <c r="O12" s="647"/>
      <c r="P12" s="647"/>
      <c r="Q12" s="647"/>
      <c r="R12" s="647"/>
      <c r="S12" s="647"/>
      <c r="T12" s="647"/>
      <c r="U12" s="647"/>
      <c r="V12" s="647"/>
      <c r="W12" s="647"/>
      <c r="X12" s="647"/>
      <c r="Y12" s="648"/>
      <c r="Z12" s="649" t="s">
        <v>183</v>
      </c>
    </row>
    <row r="13" spans="2:27" ht="20.25" customHeight="1">
      <c r="B13" s="643">
        <v>5</v>
      </c>
      <c r="C13" s="994" t="s">
        <v>13</v>
      </c>
      <c r="D13" s="644">
        <f t="shared" si="1"/>
        <v>0</v>
      </c>
      <c r="E13" s="645" t="s">
        <v>182</v>
      </c>
      <c r="F13" s="646"/>
      <c r="G13" s="647"/>
      <c r="H13" s="647"/>
      <c r="I13" s="647"/>
      <c r="J13" s="647"/>
      <c r="K13" s="647"/>
      <c r="L13" s="647"/>
      <c r="M13" s="647"/>
      <c r="N13" s="647"/>
      <c r="O13" s="647"/>
      <c r="P13" s="647"/>
      <c r="Q13" s="647"/>
      <c r="R13" s="647"/>
      <c r="S13" s="647"/>
      <c r="T13" s="647"/>
      <c r="U13" s="647"/>
      <c r="V13" s="647"/>
      <c r="W13" s="647"/>
      <c r="X13" s="647"/>
      <c r="Y13" s="648"/>
      <c r="Z13" s="649" t="s">
        <v>183</v>
      </c>
    </row>
    <row r="14" spans="2:27" ht="20.25" customHeight="1">
      <c r="B14" s="643">
        <v>6</v>
      </c>
      <c r="C14" s="994" t="s">
        <v>14</v>
      </c>
      <c r="D14" s="644">
        <f t="shared" si="1"/>
        <v>0</v>
      </c>
      <c r="E14" s="645" t="s">
        <v>182</v>
      </c>
      <c r="F14" s="646"/>
      <c r="G14" s="647"/>
      <c r="H14" s="647"/>
      <c r="I14" s="647"/>
      <c r="J14" s="647"/>
      <c r="K14" s="647"/>
      <c r="L14" s="647"/>
      <c r="M14" s="647"/>
      <c r="N14" s="647"/>
      <c r="O14" s="647"/>
      <c r="P14" s="647"/>
      <c r="Q14" s="647"/>
      <c r="R14" s="647"/>
      <c r="S14" s="647"/>
      <c r="T14" s="647"/>
      <c r="U14" s="647"/>
      <c r="V14" s="647"/>
      <c r="W14" s="647"/>
      <c r="X14" s="647"/>
      <c r="Y14" s="648"/>
      <c r="Z14" s="649" t="s">
        <v>183</v>
      </c>
    </row>
    <row r="15" spans="2:27" ht="20.25" customHeight="1">
      <c r="B15" s="643">
        <v>7</v>
      </c>
      <c r="C15" s="994" t="s">
        <v>15</v>
      </c>
      <c r="D15" s="644">
        <f t="shared" si="1"/>
        <v>0</v>
      </c>
      <c r="E15" s="645" t="s">
        <v>182</v>
      </c>
      <c r="F15" s="646"/>
      <c r="G15" s="647"/>
      <c r="H15" s="647"/>
      <c r="I15" s="647"/>
      <c r="J15" s="647"/>
      <c r="K15" s="647"/>
      <c r="L15" s="647"/>
      <c r="M15" s="647"/>
      <c r="N15" s="647"/>
      <c r="O15" s="647"/>
      <c r="P15" s="647"/>
      <c r="Q15" s="647"/>
      <c r="R15" s="647"/>
      <c r="S15" s="647"/>
      <c r="T15" s="647"/>
      <c r="U15" s="647"/>
      <c r="V15" s="647"/>
      <c r="W15" s="647"/>
      <c r="X15" s="647"/>
      <c r="Y15" s="648"/>
      <c r="Z15" s="649" t="s">
        <v>183</v>
      </c>
    </row>
    <row r="16" spans="2:27" ht="20.25" customHeight="1">
      <c r="B16" s="643">
        <v>8</v>
      </c>
      <c r="C16" s="994" t="s">
        <v>16</v>
      </c>
      <c r="D16" s="644">
        <f t="shared" si="1"/>
        <v>0</v>
      </c>
      <c r="E16" s="645" t="s">
        <v>182</v>
      </c>
      <c r="F16" s="646"/>
      <c r="G16" s="647"/>
      <c r="H16" s="647"/>
      <c r="I16" s="647"/>
      <c r="J16" s="647"/>
      <c r="K16" s="647"/>
      <c r="L16" s="647"/>
      <c r="M16" s="647"/>
      <c r="N16" s="647"/>
      <c r="O16" s="647"/>
      <c r="P16" s="647"/>
      <c r="Q16" s="647"/>
      <c r="R16" s="647"/>
      <c r="S16" s="647"/>
      <c r="T16" s="647"/>
      <c r="U16" s="647"/>
      <c r="V16" s="647"/>
      <c r="W16" s="647"/>
      <c r="X16" s="647"/>
      <c r="Y16" s="648"/>
      <c r="Z16" s="649" t="s">
        <v>183</v>
      </c>
    </row>
    <row r="17" spans="2:27" ht="20.25" customHeight="1">
      <c r="B17" s="643">
        <v>9</v>
      </c>
      <c r="C17" s="994" t="s">
        <v>17</v>
      </c>
      <c r="D17" s="644">
        <f t="shared" si="1"/>
        <v>0</v>
      </c>
      <c r="E17" s="645" t="s">
        <v>182</v>
      </c>
      <c r="F17" s="646"/>
      <c r="G17" s="647"/>
      <c r="H17" s="647"/>
      <c r="I17" s="647"/>
      <c r="J17" s="647"/>
      <c r="K17" s="647"/>
      <c r="L17" s="647"/>
      <c r="M17" s="647"/>
      <c r="N17" s="647"/>
      <c r="O17" s="647"/>
      <c r="P17" s="647"/>
      <c r="Q17" s="647"/>
      <c r="R17" s="647"/>
      <c r="S17" s="647"/>
      <c r="T17" s="647"/>
      <c r="U17" s="647"/>
      <c r="V17" s="647"/>
      <c r="W17" s="647"/>
      <c r="X17" s="647"/>
      <c r="Y17" s="648"/>
      <c r="Z17" s="649" t="s">
        <v>183</v>
      </c>
    </row>
    <row r="18" spans="2:27" ht="20.25" customHeight="1">
      <c r="B18" s="643">
        <v>10</v>
      </c>
      <c r="C18" s="994" t="s">
        <v>18</v>
      </c>
      <c r="D18" s="644">
        <f t="shared" si="1"/>
        <v>0</v>
      </c>
      <c r="E18" s="645" t="s">
        <v>182</v>
      </c>
      <c r="F18" s="646"/>
      <c r="G18" s="647"/>
      <c r="H18" s="647"/>
      <c r="I18" s="647"/>
      <c r="J18" s="647"/>
      <c r="K18" s="647"/>
      <c r="L18" s="647"/>
      <c r="M18" s="647"/>
      <c r="N18" s="647"/>
      <c r="O18" s="647"/>
      <c r="P18" s="647"/>
      <c r="Q18" s="647"/>
      <c r="R18" s="647"/>
      <c r="S18" s="647"/>
      <c r="T18" s="647"/>
      <c r="U18" s="647"/>
      <c r="V18" s="647"/>
      <c r="W18" s="647"/>
      <c r="X18" s="647"/>
      <c r="Y18" s="648"/>
      <c r="Z18" s="649" t="s">
        <v>183</v>
      </c>
    </row>
    <row r="19" spans="2:27" ht="20.25" customHeight="1">
      <c r="B19" s="643">
        <v>11</v>
      </c>
      <c r="C19" s="994" t="s">
        <v>34</v>
      </c>
      <c r="D19" s="644">
        <f t="shared" si="1"/>
        <v>0</v>
      </c>
      <c r="E19" s="645" t="s">
        <v>182</v>
      </c>
      <c r="F19" s="646"/>
      <c r="G19" s="647"/>
      <c r="H19" s="647"/>
      <c r="I19" s="647"/>
      <c r="J19" s="647"/>
      <c r="K19" s="647"/>
      <c r="L19" s="647"/>
      <c r="M19" s="647"/>
      <c r="N19" s="647"/>
      <c r="O19" s="647"/>
      <c r="P19" s="647"/>
      <c r="Q19" s="647"/>
      <c r="R19" s="647"/>
      <c r="S19" s="647"/>
      <c r="T19" s="647"/>
      <c r="U19" s="647"/>
      <c r="V19" s="647"/>
      <c r="W19" s="647"/>
      <c r="X19" s="647"/>
      <c r="Y19" s="648"/>
      <c r="Z19" s="649" t="s">
        <v>183</v>
      </c>
    </row>
    <row r="20" spans="2:27" ht="20.25" customHeight="1">
      <c r="B20" s="643">
        <v>12</v>
      </c>
      <c r="C20" s="994" t="s">
        <v>33</v>
      </c>
      <c r="D20" s="644">
        <f t="shared" si="1"/>
        <v>0</v>
      </c>
      <c r="E20" s="645" t="s">
        <v>182</v>
      </c>
      <c r="F20" s="646"/>
      <c r="G20" s="647"/>
      <c r="H20" s="647"/>
      <c r="I20" s="647"/>
      <c r="J20" s="647"/>
      <c r="K20" s="647"/>
      <c r="L20" s="647"/>
      <c r="M20" s="647"/>
      <c r="N20" s="647"/>
      <c r="O20" s="647"/>
      <c r="P20" s="647"/>
      <c r="Q20" s="647"/>
      <c r="R20" s="647"/>
      <c r="S20" s="647"/>
      <c r="T20" s="647"/>
      <c r="U20" s="647"/>
      <c r="V20" s="647"/>
      <c r="W20" s="647"/>
      <c r="X20" s="647"/>
      <c r="Y20" s="648"/>
      <c r="Z20" s="649" t="s">
        <v>183</v>
      </c>
    </row>
    <row r="21" spans="2:27" ht="20.25" customHeight="1">
      <c r="B21" s="643">
        <v>13</v>
      </c>
      <c r="C21" s="994" t="s">
        <v>21</v>
      </c>
      <c r="D21" s="644">
        <f t="shared" si="1"/>
        <v>0</v>
      </c>
      <c r="E21" s="645" t="s">
        <v>182</v>
      </c>
      <c r="F21" s="646"/>
      <c r="G21" s="647"/>
      <c r="H21" s="647"/>
      <c r="I21" s="647"/>
      <c r="J21" s="647"/>
      <c r="K21" s="647"/>
      <c r="L21" s="647"/>
      <c r="M21" s="647"/>
      <c r="N21" s="647"/>
      <c r="O21" s="647"/>
      <c r="P21" s="647"/>
      <c r="Q21" s="647"/>
      <c r="R21" s="647"/>
      <c r="S21" s="647"/>
      <c r="T21" s="647"/>
      <c r="U21" s="647"/>
      <c r="V21" s="647"/>
      <c r="W21" s="647"/>
      <c r="X21" s="647"/>
      <c r="Y21" s="648"/>
      <c r="Z21" s="649" t="s">
        <v>183</v>
      </c>
    </row>
    <row r="22" spans="2:27" ht="20.25" customHeight="1">
      <c r="B22" s="643">
        <v>14</v>
      </c>
      <c r="C22" s="994" t="s">
        <v>132</v>
      </c>
      <c r="D22" s="644">
        <f t="shared" si="1"/>
        <v>0</v>
      </c>
      <c r="E22" s="645" t="s">
        <v>182</v>
      </c>
      <c r="F22" s="646"/>
      <c r="G22" s="647"/>
      <c r="H22" s="647"/>
      <c r="I22" s="647"/>
      <c r="J22" s="647"/>
      <c r="K22" s="647"/>
      <c r="L22" s="647"/>
      <c r="M22" s="647"/>
      <c r="N22" s="647"/>
      <c r="O22" s="647"/>
      <c r="P22" s="647"/>
      <c r="Q22" s="647"/>
      <c r="R22" s="647"/>
      <c r="S22" s="647"/>
      <c r="T22" s="647"/>
      <c r="U22" s="647"/>
      <c r="V22" s="647"/>
      <c r="W22" s="647"/>
      <c r="X22" s="647"/>
      <c r="Y22" s="648"/>
      <c r="Z22" s="649" t="s">
        <v>183</v>
      </c>
    </row>
    <row r="23" spans="2:27" ht="20.25" customHeight="1">
      <c r="B23" s="643">
        <v>15</v>
      </c>
      <c r="C23" s="994" t="s">
        <v>306</v>
      </c>
      <c r="D23" s="644">
        <f t="shared" si="1"/>
        <v>0</v>
      </c>
      <c r="E23" s="645" t="s">
        <v>182</v>
      </c>
      <c r="F23" s="646"/>
      <c r="G23" s="647"/>
      <c r="H23" s="647"/>
      <c r="I23" s="647"/>
      <c r="J23" s="647"/>
      <c r="K23" s="647"/>
      <c r="L23" s="647"/>
      <c r="M23" s="647"/>
      <c r="N23" s="647"/>
      <c r="O23" s="647"/>
      <c r="P23" s="647"/>
      <c r="Q23" s="647"/>
      <c r="R23" s="647"/>
      <c r="S23" s="647"/>
      <c r="T23" s="647"/>
      <c r="U23" s="647"/>
      <c r="V23" s="647"/>
      <c r="W23" s="647"/>
      <c r="X23" s="647"/>
      <c r="Y23" s="648"/>
      <c r="Z23" s="649" t="s">
        <v>183</v>
      </c>
    </row>
    <row r="24" spans="2:27" ht="20.25" customHeight="1" thickBot="1">
      <c r="B24" s="650">
        <v>16</v>
      </c>
      <c r="C24" s="995" t="s">
        <v>23</v>
      </c>
      <c r="D24" s="651">
        <f t="shared" si="1"/>
        <v>0</v>
      </c>
      <c r="E24" s="652" t="s">
        <v>182</v>
      </c>
      <c r="F24" s="653"/>
      <c r="G24" s="654"/>
      <c r="H24" s="654"/>
      <c r="I24" s="654"/>
      <c r="J24" s="654"/>
      <c r="K24" s="654"/>
      <c r="L24" s="654"/>
      <c r="M24" s="654"/>
      <c r="N24" s="654"/>
      <c r="O24" s="654"/>
      <c r="P24" s="654"/>
      <c r="Q24" s="654"/>
      <c r="R24" s="654"/>
      <c r="S24" s="654"/>
      <c r="T24" s="654"/>
      <c r="U24" s="654"/>
      <c r="V24" s="654"/>
      <c r="W24" s="654"/>
      <c r="X24" s="654"/>
      <c r="Y24" s="655"/>
      <c r="Z24" s="649" t="s">
        <v>183</v>
      </c>
    </row>
    <row r="25" spans="2:27" ht="20.25" customHeight="1" thickBot="1">
      <c r="B25" s="656" t="s">
        <v>127</v>
      </c>
      <c r="C25" s="657" t="s">
        <v>184</v>
      </c>
      <c r="D25" s="658">
        <f>SUM(D9:D24)</f>
        <v>0</v>
      </c>
      <c r="E25" s="659" t="s">
        <v>127</v>
      </c>
      <c r="F25" s="660">
        <f t="shared" ref="F25:Y25" si="2">SUM(F9:F24)</f>
        <v>0</v>
      </c>
      <c r="G25" s="661">
        <f t="shared" si="2"/>
        <v>0</v>
      </c>
      <c r="H25" s="661">
        <f t="shared" si="2"/>
        <v>0</v>
      </c>
      <c r="I25" s="661">
        <f t="shared" si="2"/>
        <v>0</v>
      </c>
      <c r="J25" s="661">
        <f t="shared" si="2"/>
        <v>0</v>
      </c>
      <c r="K25" s="661">
        <f t="shared" si="2"/>
        <v>0</v>
      </c>
      <c r="L25" s="661">
        <f t="shared" si="2"/>
        <v>0</v>
      </c>
      <c r="M25" s="661">
        <f t="shared" si="2"/>
        <v>0</v>
      </c>
      <c r="N25" s="661">
        <f t="shared" si="2"/>
        <v>0</v>
      </c>
      <c r="O25" s="661">
        <f t="shared" si="2"/>
        <v>0</v>
      </c>
      <c r="P25" s="661">
        <f t="shared" si="2"/>
        <v>0</v>
      </c>
      <c r="Q25" s="661">
        <f t="shared" si="2"/>
        <v>0</v>
      </c>
      <c r="R25" s="661">
        <f t="shared" si="2"/>
        <v>0</v>
      </c>
      <c r="S25" s="661">
        <f t="shared" si="2"/>
        <v>0</v>
      </c>
      <c r="T25" s="661">
        <f t="shared" si="2"/>
        <v>0</v>
      </c>
      <c r="U25" s="661">
        <f t="shared" si="2"/>
        <v>0</v>
      </c>
      <c r="V25" s="661">
        <f t="shared" si="2"/>
        <v>0</v>
      </c>
      <c r="W25" s="661">
        <f t="shared" si="2"/>
        <v>0</v>
      </c>
      <c r="X25" s="661">
        <f t="shared" si="2"/>
        <v>0</v>
      </c>
      <c r="Y25" s="662">
        <f t="shared" si="2"/>
        <v>0</v>
      </c>
      <c r="Z25" s="649" t="s">
        <v>183</v>
      </c>
    </row>
    <row r="26" spans="2:27">
      <c r="D26" s="663"/>
      <c r="E26" s="663"/>
      <c r="F26" s="663"/>
      <c r="G26" s="663"/>
      <c r="H26" s="663"/>
      <c r="I26" s="663"/>
      <c r="J26" s="663"/>
      <c r="K26" s="663"/>
      <c r="L26" s="663"/>
      <c r="M26" s="663"/>
      <c r="N26" s="663"/>
      <c r="O26" s="663"/>
      <c r="P26" s="663"/>
      <c r="Q26" s="663"/>
      <c r="R26" s="663"/>
      <c r="S26" s="663"/>
      <c r="T26" s="663"/>
      <c r="U26" s="663"/>
      <c r="V26" s="663"/>
      <c r="W26" s="663"/>
      <c r="X26" s="663"/>
      <c r="Y26" s="663"/>
    </row>
    <row r="27" spans="2:27">
      <c r="D27" s="663"/>
      <c r="F27" s="663"/>
      <c r="G27" s="663"/>
      <c r="H27" s="663"/>
      <c r="I27" s="663"/>
      <c r="J27" s="663"/>
      <c r="K27" s="663"/>
      <c r="L27" s="663"/>
      <c r="M27" s="663"/>
    </row>
    <row r="29" spans="2:27" ht="18" customHeight="1" thickBot="1">
      <c r="B29" s="664" t="s">
        <v>185</v>
      </c>
      <c r="C29" s="665"/>
      <c r="D29" s="1175" t="s">
        <v>186</v>
      </c>
      <c r="E29" s="1176"/>
      <c r="F29" s="1176"/>
      <c r="G29" s="1176"/>
      <c r="H29" s="1176"/>
      <c r="I29" s="1176"/>
      <c r="J29" s="1176"/>
      <c r="K29" s="1176"/>
      <c r="L29" s="1176"/>
      <c r="M29" s="1176"/>
      <c r="N29" s="1176"/>
      <c r="O29" s="1176"/>
      <c r="P29" s="1176"/>
      <c r="Q29" s="1176"/>
      <c r="R29" s="1176"/>
      <c r="S29" s="1176"/>
      <c r="T29" s="1176"/>
      <c r="U29" s="1176"/>
      <c r="V29" s="1176"/>
      <c r="W29" s="1176"/>
      <c r="X29" s="1176"/>
      <c r="Y29" s="1176"/>
      <c r="Z29" s="1176"/>
      <c r="AA29" s="636"/>
    </row>
    <row r="30" spans="2:27" ht="15" customHeight="1">
      <c r="B30" s="1179" t="s">
        <v>158</v>
      </c>
      <c r="C30" s="1181" t="s">
        <v>159</v>
      </c>
      <c r="D30" s="1189" t="s">
        <v>187</v>
      </c>
      <c r="E30" s="1185" t="s">
        <v>161</v>
      </c>
      <c r="F30" s="638" t="str">
        <f t="shared" ref="F30:Y31" si="3">F3</f>
        <v>Opatření 1</v>
      </c>
      <c r="G30" s="639" t="str">
        <f t="shared" si="3"/>
        <v>Opatření 2</v>
      </c>
      <c r="H30" s="639" t="str">
        <f t="shared" si="3"/>
        <v>Opatření 3</v>
      </c>
      <c r="I30" s="639" t="str">
        <f t="shared" si="3"/>
        <v>Opatření 4</v>
      </c>
      <c r="J30" s="639" t="str">
        <f t="shared" si="3"/>
        <v>Opatření 5</v>
      </c>
      <c r="K30" s="639" t="str">
        <f t="shared" si="3"/>
        <v>Opatření 6</v>
      </c>
      <c r="L30" s="639" t="str">
        <f t="shared" si="3"/>
        <v>Opatření 7</v>
      </c>
      <c r="M30" s="639" t="str">
        <f t="shared" si="3"/>
        <v>Opatření 8</v>
      </c>
      <c r="N30" s="639" t="str">
        <f t="shared" si="3"/>
        <v>Opatření 9</v>
      </c>
      <c r="O30" s="639" t="str">
        <f t="shared" si="3"/>
        <v>Opatření 10</v>
      </c>
      <c r="P30" s="639" t="str">
        <f t="shared" si="3"/>
        <v>Opatření 11</v>
      </c>
      <c r="Q30" s="639" t="str">
        <f t="shared" si="3"/>
        <v>Opatření 12</v>
      </c>
      <c r="R30" s="639" t="str">
        <f t="shared" si="3"/>
        <v>Opatření 13</v>
      </c>
      <c r="S30" s="639" t="str">
        <f t="shared" si="3"/>
        <v>Opatření 14</v>
      </c>
      <c r="T30" s="639" t="str">
        <f t="shared" si="3"/>
        <v>Opatření 15</v>
      </c>
      <c r="U30" s="639" t="str">
        <f t="shared" si="3"/>
        <v>Opatření 16</v>
      </c>
      <c r="V30" s="639" t="str">
        <f t="shared" si="3"/>
        <v>Opatření 17</v>
      </c>
      <c r="W30" s="639" t="str">
        <f t="shared" si="3"/>
        <v>Opatření 18</v>
      </c>
      <c r="X30" s="639" t="str">
        <f t="shared" si="3"/>
        <v>Opatření 19</v>
      </c>
      <c r="Y30" s="639" t="str">
        <f t="shared" si="3"/>
        <v>Opatření 20</v>
      </c>
      <c r="Z30" s="1191" t="s">
        <v>188</v>
      </c>
    </row>
    <row r="31" spans="2:27">
      <c r="B31" s="1180"/>
      <c r="C31" s="1182"/>
      <c r="D31" s="1190"/>
      <c r="E31" s="1186"/>
      <c r="F31" s="1180">
        <f t="shared" si="3"/>
        <v>0</v>
      </c>
      <c r="G31" s="1182">
        <f t="shared" si="3"/>
        <v>0</v>
      </c>
      <c r="H31" s="1182">
        <f t="shared" si="3"/>
        <v>0</v>
      </c>
      <c r="I31" s="1182">
        <f t="shared" si="3"/>
        <v>0</v>
      </c>
      <c r="J31" s="1182">
        <f t="shared" si="3"/>
        <v>0</v>
      </c>
      <c r="K31" s="1182">
        <f t="shared" si="3"/>
        <v>0</v>
      </c>
      <c r="L31" s="1182">
        <f t="shared" si="3"/>
        <v>0</v>
      </c>
      <c r="M31" s="1182">
        <f t="shared" si="3"/>
        <v>0</v>
      </c>
      <c r="N31" s="1182">
        <f t="shared" si="3"/>
        <v>0</v>
      </c>
      <c r="O31" s="1182">
        <f t="shared" si="3"/>
        <v>0</v>
      </c>
      <c r="P31" s="1182">
        <f t="shared" si="3"/>
        <v>0</v>
      </c>
      <c r="Q31" s="1182">
        <f t="shared" si="3"/>
        <v>0</v>
      </c>
      <c r="R31" s="1182">
        <f t="shared" si="3"/>
        <v>0</v>
      </c>
      <c r="S31" s="1182">
        <f t="shared" si="3"/>
        <v>0</v>
      </c>
      <c r="T31" s="1182">
        <f t="shared" si="3"/>
        <v>0</v>
      </c>
      <c r="U31" s="1182">
        <f t="shared" si="3"/>
        <v>0</v>
      </c>
      <c r="V31" s="1182">
        <f t="shared" si="3"/>
        <v>0</v>
      </c>
      <c r="W31" s="1182">
        <f t="shared" si="3"/>
        <v>0</v>
      </c>
      <c r="X31" s="1182">
        <f t="shared" si="3"/>
        <v>0</v>
      </c>
      <c r="Y31" s="1182">
        <f t="shared" si="3"/>
        <v>0</v>
      </c>
      <c r="Z31" s="1192"/>
    </row>
    <row r="32" spans="2:27">
      <c r="B32" s="1180"/>
      <c r="C32" s="1182"/>
      <c r="D32" s="1190"/>
      <c r="E32" s="1186"/>
      <c r="F32" s="1180"/>
      <c r="G32" s="1182"/>
      <c r="H32" s="1182"/>
      <c r="I32" s="1182"/>
      <c r="J32" s="1182"/>
      <c r="K32" s="1182"/>
      <c r="L32" s="1182"/>
      <c r="M32" s="1182"/>
      <c r="N32" s="1182"/>
      <c r="O32" s="1182"/>
      <c r="P32" s="1182"/>
      <c r="Q32" s="1182"/>
      <c r="R32" s="1182"/>
      <c r="S32" s="1182"/>
      <c r="T32" s="1182"/>
      <c r="U32" s="1182"/>
      <c r="V32" s="1182"/>
      <c r="W32" s="1182"/>
      <c r="X32" s="1182"/>
      <c r="Y32" s="1182"/>
      <c r="Z32" s="1192"/>
    </row>
    <row r="33" spans="2:27">
      <c r="B33" s="1180"/>
      <c r="C33" s="1182"/>
      <c r="D33" s="1190"/>
      <c r="E33" s="1186"/>
      <c r="F33" s="1180"/>
      <c r="G33" s="1182"/>
      <c r="H33" s="1182"/>
      <c r="I33" s="1182"/>
      <c r="J33" s="1182"/>
      <c r="K33" s="1182"/>
      <c r="L33" s="1182"/>
      <c r="M33" s="1182"/>
      <c r="N33" s="1182"/>
      <c r="O33" s="1182"/>
      <c r="P33" s="1182"/>
      <c r="Q33" s="1182"/>
      <c r="R33" s="1182"/>
      <c r="S33" s="1182"/>
      <c r="T33" s="1182"/>
      <c r="U33" s="1182"/>
      <c r="V33" s="1182"/>
      <c r="W33" s="1182"/>
      <c r="X33" s="1182"/>
      <c r="Y33" s="1182"/>
      <c r="Z33" s="1192"/>
    </row>
    <row r="34" spans="2:27">
      <c r="B34" s="1180"/>
      <c r="C34" s="1182"/>
      <c r="D34" s="1190"/>
      <c r="E34" s="1186"/>
      <c r="F34" s="1180"/>
      <c r="G34" s="1182"/>
      <c r="H34" s="1182"/>
      <c r="I34" s="1182"/>
      <c r="J34" s="1182"/>
      <c r="K34" s="1182"/>
      <c r="L34" s="1182"/>
      <c r="M34" s="1182"/>
      <c r="N34" s="1182"/>
      <c r="O34" s="1182"/>
      <c r="P34" s="1182"/>
      <c r="Q34" s="1182"/>
      <c r="R34" s="1182"/>
      <c r="S34" s="1182"/>
      <c r="T34" s="1182"/>
      <c r="U34" s="1182"/>
      <c r="V34" s="1182"/>
      <c r="W34" s="1182"/>
      <c r="X34" s="1182"/>
      <c r="Y34" s="1182"/>
      <c r="Z34" s="1192"/>
    </row>
    <row r="35" spans="2:27" ht="57.75" customHeight="1">
      <c r="B35" s="1180"/>
      <c r="C35" s="1182"/>
      <c r="D35" s="1190"/>
      <c r="E35" s="1186"/>
      <c r="F35" s="1180"/>
      <c r="G35" s="1182"/>
      <c r="H35" s="1182"/>
      <c r="I35" s="1182"/>
      <c r="J35" s="1182"/>
      <c r="K35" s="1182"/>
      <c r="L35" s="1182"/>
      <c r="M35" s="1182"/>
      <c r="N35" s="1182"/>
      <c r="O35" s="1182"/>
      <c r="P35" s="1182"/>
      <c r="Q35" s="1182"/>
      <c r="R35" s="1182"/>
      <c r="S35" s="1182"/>
      <c r="T35" s="1182"/>
      <c r="U35" s="1182"/>
      <c r="V35" s="1182"/>
      <c r="W35" s="1182"/>
      <c r="X35" s="1182"/>
      <c r="Y35" s="1182"/>
      <c r="Z35" s="1192"/>
    </row>
    <row r="36" spans="2:27" ht="20.25" customHeight="1">
      <c r="B36" s="643">
        <f t="shared" ref="B36:C51" si="4">B9</f>
        <v>1</v>
      </c>
      <c r="C36" s="666" t="str">
        <f t="shared" si="4"/>
        <v>ZŠ a MŠ Březová</v>
      </c>
      <c r="D36" s="667">
        <f t="shared" ref="D36:D51" si="5">SUM(F36:Z36)</f>
        <v>0</v>
      </c>
      <c r="E36" s="645" t="s">
        <v>182</v>
      </c>
      <c r="F36" s="646"/>
      <c r="G36" s="647"/>
      <c r="H36" s="647"/>
      <c r="I36" s="647"/>
      <c r="J36" s="647"/>
      <c r="K36" s="647"/>
      <c r="L36" s="647"/>
      <c r="M36" s="647"/>
      <c r="N36" s="647"/>
      <c r="O36" s="647"/>
      <c r="P36" s="647"/>
      <c r="Q36" s="647"/>
      <c r="R36" s="647"/>
      <c r="S36" s="647"/>
      <c r="T36" s="647"/>
      <c r="U36" s="647"/>
      <c r="V36" s="647"/>
      <c r="W36" s="647"/>
      <c r="X36" s="647"/>
      <c r="Y36" s="647"/>
      <c r="Z36" s="648"/>
      <c r="AA36" s="649" t="s">
        <v>183</v>
      </c>
    </row>
    <row r="37" spans="2:27" ht="20.25" customHeight="1">
      <c r="B37" s="643">
        <f t="shared" si="4"/>
        <v>2</v>
      </c>
      <c r="C37" s="666" t="str">
        <f t="shared" si="4"/>
        <v>ZŠ Na Pěšině</v>
      </c>
      <c r="D37" s="667">
        <f t="shared" si="5"/>
        <v>0</v>
      </c>
      <c r="E37" s="645" t="s">
        <v>182</v>
      </c>
      <c r="F37" s="646"/>
      <c r="G37" s="647"/>
      <c r="H37" s="647"/>
      <c r="I37" s="647"/>
      <c r="J37" s="647"/>
      <c r="K37" s="647"/>
      <c r="L37" s="647"/>
      <c r="M37" s="647"/>
      <c r="N37" s="647"/>
      <c r="O37" s="647"/>
      <c r="P37" s="647"/>
      <c r="Q37" s="647"/>
      <c r="R37" s="647"/>
      <c r="S37" s="647"/>
      <c r="T37" s="647"/>
      <c r="U37" s="647"/>
      <c r="V37" s="647"/>
      <c r="W37" s="647"/>
      <c r="X37" s="647"/>
      <c r="Y37" s="647"/>
      <c r="Z37" s="648"/>
      <c r="AA37" s="649" t="s">
        <v>183</v>
      </c>
    </row>
    <row r="38" spans="2:27" ht="20.25" customHeight="1">
      <c r="B38" s="643">
        <f t="shared" si="4"/>
        <v>3</v>
      </c>
      <c r="C38" s="666" t="str">
        <f t="shared" si="4"/>
        <v>ZŠ Školní</v>
      </c>
      <c r="D38" s="667">
        <f t="shared" si="5"/>
        <v>0</v>
      </c>
      <c r="E38" s="645" t="s">
        <v>182</v>
      </c>
      <c r="F38" s="646"/>
      <c r="G38" s="647"/>
      <c r="H38" s="647"/>
      <c r="I38" s="647"/>
      <c r="J38" s="647"/>
      <c r="K38" s="647"/>
      <c r="L38" s="647"/>
      <c r="M38" s="647"/>
      <c r="N38" s="647"/>
      <c r="O38" s="647"/>
      <c r="P38" s="647"/>
      <c r="Q38" s="647"/>
      <c r="R38" s="647"/>
      <c r="S38" s="647"/>
      <c r="T38" s="647"/>
      <c r="U38" s="647"/>
      <c r="V38" s="647"/>
      <c r="W38" s="647"/>
      <c r="X38" s="647"/>
      <c r="Y38" s="647"/>
      <c r="Z38" s="648"/>
      <c r="AA38" s="649" t="s">
        <v>183</v>
      </c>
    </row>
    <row r="39" spans="2:27" ht="20.25" customHeight="1">
      <c r="B39" s="643">
        <f t="shared" si="4"/>
        <v>4</v>
      </c>
      <c r="C39" s="666" t="str">
        <f t="shared" si="4"/>
        <v>MŠ Školní</v>
      </c>
      <c r="D39" s="667">
        <f t="shared" si="5"/>
        <v>0</v>
      </c>
      <c r="E39" s="645" t="s">
        <v>182</v>
      </c>
      <c r="F39" s="646"/>
      <c r="G39" s="647"/>
      <c r="H39" s="647"/>
      <c r="I39" s="647"/>
      <c r="J39" s="647"/>
      <c r="K39" s="647"/>
      <c r="L39" s="647"/>
      <c r="M39" s="647"/>
      <c r="N39" s="647"/>
      <c r="O39" s="647"/>
      <c r="P39" s="647"/>
      <c r="Q39" s="647"/>
      <c r="R39" s="647"/>
      <c r="S39" s="647"/>
      <c r="T39" s="647"/>
      <c r="U39" s="647"/>
      <c r="V39" s="647"/>
      <c r="W39" s="647"/>
      <c r="X39" s="647"/>
      <c r="Y39" s="647"/>
      <c r="Z39" s="648"/>
      <c r="AA39" s="649" t="s">
        <v>183</v>
      </c>
    </row>
    <row r="40" spans="2:27" ht="20.25" customHeight="1">
      <c r="B40" s="643">
        <f t="shared" si="4"/>
        <v>5</v>
      </c>
      <c r="C40" s="666" t="str">
        <f t="shared" si="4"/>
        <v>ZŠ Kosmonautů</v>
      </c>
      <c r="D40" s="667">
        <f t="shared" si="5"/>
        <v>0</v>
      </c>
      <c r="E40" s="645" t="s">
        <v>182</v>
      </c>
      <c r="F40" s="646"/>
      <c r="G40" s="647"/>
      <c r="H40" s="647"/>
      <c r="I40" s="647"/>
      <c r="J40" s="647"/>
      <c r="K40" s="647"/>
      <c r="L40" s="647"/>
      <c r="M40" s="647"/>
      <c r="N40" s="647"/>
      <c r="O40" s="647"/>
      <c r="P40" s="647"/>
      <c r="Q40" s="647"/>
      <c r="R40" s="647"/>
      <c r="S40" s="647"/>
      <c r="T40" s="647"/>
      <c r="U40" s="647"/>
      <c r="V40" s="647"/>
      <c r="W40" s="647"/>
      <c r="X40" s="647"/>
      <c r="Y40" s="647"/>
      <c r="Z40" s="648"/>
      <c r="AA40" s="649" t="s">
        <v>183</v>
      </c>
    </row>
    <row r="41" spans="2:27" ht="20.25" customHeight="1">
      <c r="B41" s="643">
        <f t="shared" si="4"/>
        <v>6</v>
      </c>
      <c r="C41" s="666" t="str">
        <f t="shared" si="4"/>
        <v>MŠ Kosmonautů</v>
      </c>
      <c r="D41" s="667">
        <f t="shared" si="5"/>
        <v>0</v>
      </c>
      <c r="E41" s="645" t="s">
        <v>182</v>
      </c>
      <c r="F41" s="646"/>
      <c r="G41" s="647"/>
      <c r="H41" s="647"/>
      <c r="I41" s="647"/>
      <c r="J41" s="647"/>
      <c r="K41" s="647"/>
      <c r="L41" s="647"/>
      <c r="M41" s="647"/>
      <c r="N41" s="647"/>
      <c r="O41" s="647"/>
      <c r="P41" s="647"/>
      <c r="Q41" s="647"/>
      <c r="R41" s="647"/>
      <c r="S41" s="647"/>
      <c r="T41" s="647"/>
      <c r="U41" s="647"/>
      <c r="V41" s="647"/>
      <c r="W41" s="647"/>
      <c r="X41" s="647"/>
      <c r="Y41" s="647"/>
      <c r="Z41" s="648"/>
      <c r="AA41" s="649" t="s">
        <v>183</v>
      </c>
    </row>
    <row r="42" spans="2:27" ht="20.25" customHeight="1">
      <c r="B42" s="643">
        <f t="shared" si="4"/>
        <v>7</v>
      </c>
      <c r="C42" s="666" t="str">
        <f t="shared" si="4"/>
        <v>ŠJ Sládkova</v>
      </c>
      <c r="D42" s="667">
        <f t="shared" si="5"/>
        <v>0</v>
      </c>
      <c r="E42" s="645" t="s">
        <v>182</v>
      </c>
      <c r="F42" s="646"/>
      <c r="G42" s="647"/>
      <c r="H42" s="647"/>
      <c r="I42" s="647"/>
      <c r="J42" s="647"/>
      <c r="K42" s="647"/>
      <c r="L42" s="647"/>
      <c r="M42" s="647"/>
      <c r="N42" s="647"/>
      <c r="O42" s="647"/>
      <c r="P42" s="647"/>
      <c r="Q42" s="647"/>
      <c r="R42" s="647"/>
      <c r="S42" s="647"/>
      <c r="T42" s="647"/>
      <c r="U42" s="647"/>
      <c r="V42" s="647"/>
      <c r="W42" s="647"/>
      <c r="X42" s="647"/>
      <c r="Y42" s="647"/>
      <c r="Z42" s="648"/>
      <c r="AA42" s="649" t="s">
        <v>183</v>
      </c>
    </row>
    <row r="43" spans="2:27" ht="20.25" customHeight="1">
      <c r="B43" s="643">
        <f t="shared" si="4"/>
        <v>8</v>
      </c>
      <c r="C43" s="666" t="str">
        <f t="shared" si="4"/>
        <v>Městské divadlo</v>
      </c>
      <c r="D43" s="667">
        <f t="shared" si="5"/>
        <v>0</v>
      </c>
      <c r="E43" s="645" t="s">
        <v>182</v>
      </c>
      <c r="F43" s="646"/>
      <c r="G43" s="647"/>
      <c r="H43" s="647"/>
      <c r="I43" s="647"/>
      <c r="J43" s="647"/>
      <c r="K43" s="647"/>
      <c r="L43" s="647"/>
      <c r="M43" s="647"/>
      <c r="N43" s="647"/>
      <c r="O43" s="647"/>
      <c r="P43" s="647"/>
      <c r="Q43" s="647"/>
      <c r="R43" s="647"/>
      <c r="S43" s="647"/>
      <c r="T43" s="647"/>
      <c r="U43" s="647"/>
      <c r="V43" s="647"/>
      <c r="W43" s="647"/>
      <c r="X43" s="647"/>
      <c r="Y43" s="647"/>
      <c r="Z43" s="648"/>
      <c r="AA43" s="649" t="s">
        <v>183</v>
      </c>
    </row>
    <row r="44" spans="2:27" ht="20.25" customHeight="1">
      <c r="B44" s="643">
        <f t="shared" si="4"/>
        <v>9</v>
      </c>
      <c r="C44" s="666" t="str">
        <f t="shared" si="4"/>
        <v>ZŠ Vojanova</v>
      </c>
      <c r="D44" s="667">
        <f t="shared" si="5"/>
        <v>0</v>
      </c>
      <c r="E44" s="645" t="s">
        <v>182</v>
      </c>
      <c r="F44" s="646"/>
      <c r="G44" s="647"/>
      <c r="H44" s="647"/>
      <c r="I44" s="647"/>
      <c r="J44" s="647"/>
      <c r="K44" s="647"/>
      <c r="L44" s="647"/>
      <c r="M44" s="647"/>
      <c r="N44" s="647"/>
      <c r="O44" s="647"/>
      <c r="P44" s="647"/>
      <c r="Q44" s="647"/>
      <c r="R44" s="647"/>
      <c r="S44" s="647"/>
      <c r="T44" s="647"/>
      <c r="U44" s="647"/>
      <c r="V44" s="647"/>
      <c r="W44" s="647"/>
      <c r="X44" s="647"/>
      <c r="Y44" s="647"/>
      <c r="Z44" s="648"/>
      <c r="AA44" s="649" t="s">
        <v>183</v>
      </c>
    </row>
    <row r="45" spans="2:27" ht="20.25" customHeight="1">
      <c r="B45" s="643">
        <f t="shared" si="4"/>
        <v>10</v>
      </c>
      <c r="C45" s="666" t="str">
        <f t="shared" si="4"/>
        <v>MŠ Riegrova</v>
      </c>
      <c r="D45" s="667">
        <f t="shared" si="5"/>
        <v>0</v>
      </c>
      <c r="E45" s="645" t="s">
        <v>182</v>
      </c>
      <c r="F45" s="646"/>
      <c r="G45" s="647"/>
      <c r="H45" s="647"/>
      <c r="I45" s="647"/>
      <c r="J45" s="647"/>
      <c r="K45" s="647"/>
      <c r="L45" s="647"/>
      <c r="M45" s="647"/>
      <c r="N45" s="647"/>
      <c r="O45" s="647"/>
      <c r="P45" s="647"/>
      <c r="Q45" s="647"/>
      <c r="R45" s="647"/>
      <c r="S45" s="647"/>
      <c r="T45" s="647"/>
      <c r="U45" s="647"/>
      <c r="V45" s="647"/>
      <c r="W45" s="647"/>
      <c r="X45" s="647"/>
      <c r="Y45" s="647"/>
      <c r="Z45" s="648"/>
      <c r="AA45" s="649" t="s">
        <v>183</v>
      </c>
    </row>
    <row r="46" spans="2:27" ht="20.25" customHeight="1">
      <c r="B46" s="643">
        <f t="shared" si="4"/>
        <v>11</v>
      </c>
      <c r="C46" s="666" t="str">
        <f t="shared" si="4"/>
        <v>ZŠ Míru</v>
      </c>
      <c r="D46" s="667">
        <f t="shared" si="5"/>
        <v>0</v>
      </c>
      <c r="E46" s="645" t="s">
        <v>182</v>
      </c>
      <c r="F46" s="646"/>
      <c r="G46" s="647"/>
      <c r="H46" s="647"/>
      <c r="I46" s="647"/>
      <c r="J46" s="647"/>
      <c r="K46" s="647"/>
      <c r="L46" s="647"/>
      <c r="M46" s="647"/>
      <c r="N46" s="647"/>
      <c r="O46" s="647"/>
      <c r="P46" s="647"/>
      <c r="Q46" s="647"/>
      <c r="R46" s="647"/>
      <c r="S46" s="647"/>
      <c r="T46" s="647"/>
      <c r="U46" s="647"/>
      <c r="V46" s="647"/>
      <c r="W46" s="647"/>
      <c r="X46" s="647"/>
      <c r="Y46" s="647"/>
      <c r="Z46" s="648"/>
      <c r="AA46" s="649" t="s">
        <v>183</v>
      </c>
    </row>
    <row r="47" spans="2:27" ht="20.25" customHeight="1">
      <c r="B47" s="643">
        <f t="shared" si="4"/>
        <v>12</v>
      </c>
      <c r="C47" s="666" t="str">
        <f t="shared" si="4"/>
        <v>Městská knihovna</v>
      </c>
      <c r="D47" s="667">
        <f t="shared" si="5"/>
        <v>0</v>
      </c>
      <c r="E47" s="645" t="s">
        <v>182</v>
      </c>
      <c r="F47" s="646"/>
      <c r="G47" s="647"/>
      <c r="H47" s="647"/>
      <c r="I47" s="647"/>
      <c r="J47" s="647"/>
      <c r="K47" s="647"/>
      <c r="L47" s="647"/>
      <c r="M47" s="647"/>
      <c r="N47" s="647"/>
      <c r="O47" s="647"/>
      <c r="P47" s="647"/>
      <c r="Q47" s="647"/>
      <c r="R47" s="647"/>
      <c r="S47" s="647"/>
      <c r="T47" s="647"/>
      <c r="U47" s="647"/>
      <c r="V47" s="647"/>
      <c r="W47" s="647"/>
      <c r="X47" s="647"/>
      <c r="Y47" s="647"/>
      <c r="Z47" s="648"/>
      <c r="AA47" s="649" t="s">
        <v>183</v>
      </c>
    </row>
    <row r="48" spans="2:27" ht="20.25" customHeight="1">
      <c r="B48" s="643">
        <f t="shared" si="4"/>
        <v>13</v>
      </c>
      <c r="C48" s="666" t="str">
        <f t="shared" si="4"/>
        <v>Kino</v>
      </c>
      <c r="D48" s="667">
        <f t="shared" si="5"/>
        <v>0</v>
      </c>
      <c r="E48" s="645" t="s">
        <v>182</v>
      </c>
      <c r="F48" s="646"/>
      <c r="G48" s="647"/>
      <c r="H48" s="647"/>
      <c r="I48" s="647"/>
      <c r="J48" s="647"/>
      <c r="K48" s="647"/>
      <c r="L48" s="647"/>
      <c r="M48" s="647"/>
      <c r="N48" s="647"/>
      <c r="O48" s="647"/>
      <c r="P48" s="647"/>
      <c r="Q48" s="647"/>
      <c r="R48" s="647"/>
      <c r="S48" s="647"/>
      <c r="T48" s="647"/>
      <c r="U48" s="647"/>
      <c r="V48" s="647"/>
      <c r="W48" s="647"/>
      <c r="X48" s="647"/>
      <c r="Y48" s="647"/>
      <c r="Z48" s="648"/>
      <c r="AA48" s="649" t="s">
        <v>183</v>
      </c>
    </row>
    <row r="49" spans="2:27" ht="20.25" customHeight="1">
      <c r="B49" s="643">
        <f t="shared" si="4"/>
        <v>14</v>
      </c>
      <c r="C49" s="666" t="str">
        <f t="shared" si="4"/>
        <v>Magistrát B1+B2</v>
      </c>
      <c r="D49" s="667">
        <f t="shared" si="5"/>
        <v>0</v>
      </c>
      <c r="E49" s="645" t="s">
        <v>182</v>
      </c>
      <c r="F49" s="646"/>
      <c r="G49" s="647"/>
      <c r="H49" s="647"/>
      <c r="I49" s="647"/>
      <c r="J49" s="647"/>
      <c r="K49" s="647"/>
      <c r="L49" s="647"/>
      <c r="M49" s="647"/>
      <c r="N49" s="647"/>
      <c r="O49" s="647"/>
      <c r="P49" s="647"/>
      <c r="Q49" s="647"/>
      <c r="R49" s="647"/>
      <c r="S49" s="647"/>
      <c r="T49" s="647"/>
      <c r="U49" s="647"/>
      <c r="V49" s="647"/>
      <c r="W49" s="647"/>
      <c r="X49" s="647"/>
      <c r="Y49" s="647"/>
      <c r="Z49" s="648"/>
      <c r="AA49" s="649" t="s">
        <v>183</v>
      </c>
    </row>
    <row r="50" spans="2:27" ht="20.25" customHeight="1">
      <c r="B50" s="643">
        <f t="shared" si="4"/>
        <v>15</v>
      </c>
      <c r="C50" s="666" t="str">
        <f t="shared" si="4"/>
        <v>Zimní stadion</v>
      </c>
      <c r="D50" s="667">
        <f t="shared" si="5"/>
        <v>0</v>
      </c>
      <c r="E50" s="645" t="s">
        <v>182</v>
      </c>
      <c r="F50" s="646"/>
      <c r="G50" s="647"/>
      <c r="H50" s="647"/>
      <c r="I50" s="647"/>
      <c r="J50" s="647"/>
      <c r="K50" s="647"/>
      <c r="L50" s="647"/>
      <c r="M50" s="647"/>
      <c r="N50" s="647"/>
      <c r="O50" s="647"/>
      <c r="P50" s="647"/>
      <c r="Q50" s="647"/>
      <c r="R50" s="647"/>
      <c r="S50" s="647"/>
      <c r="T50" s="647"/>
      <c r="U50" s="647"/>
      <c r="V50" s="647"/>
      <c r="W50" s="647"/>
      <c r="X50" s="647"/>
      <c r="Y50" s="647"/>
      <c r="Z50" s="648"/>
      <c r="AA50" s="649" t="s">
        <v>183</v>
      </c>
    </row>
    <row r="51" spans="2:27" ht="20.25" customHeight="1" thickBot="1">
      <c r="B51" s="656">
        <f>B24</f>
        <v>16</v>
      </c>
      <c r="C51" s="657" t="str">
        <f t="shared" si="4"/>
        <v>Aquapark</v>
      </c>
      <c r="D51" s="668">
        <f t="shared" si="5"/>
        <v>0</v>
      </c>
      <c r="E51" s="669" t="s">
        <v>182</v>
      </c>
      <c r="F51" s="670"/>
      <c r="G51" s="671"/>
      <c r="H51" s="671"/>
      <c r="I51" s="671"/>
      <c r="J51" s="671"/>
      <c r="K51" s="671"/>
      <c r="L51" s="671"/>
      <c r="M51" s="671"/>
      <c r="N51" s="671"/>
      <c r="O51" s="671"/>
      <c r="P51" s="671"/>
      <c r="Q51" s="671"/>
      <c r="R51" s="671"/>
      <c r="S51" s="671"/>
      <c r="T51" s="671"/>
      <c r="U51" s="671"/>
      <c r="V51" s="671"/>
      <c r="W51" s="671"/>
      <c r="X51" s="671"/>
      <c r="Y51" s="671"/>
      <c r="Z51" s="672"/>
      <c r="AA51" s="649" t="s">
        <v>183</v>
      </c>
    </row>
    <row r="52" spans="2:27" ht="20.25" customHeight="1" thickBot="1">
      <c r="B52" s="650" t="s">
        <v>127</v>
      </c>
      <c r="C52" s="657" t="s">
        <v>184</v>
      </c>
      <c r="D52" s="658">
        <f>SUM(D36:D51)</f>
        <v>0</v>
      </c>
      <c r="E52" s="659" t="s">
        <v>127</v>
      </c>
      <c r="F52" s="660">
        <f t="shared" ref="F52:Z52" si="6">SUM(F36:F51)</f>
        <v>0</v>
      </c>
      <c r="G52" s="661">
        <f t="shared" si="6"/>
        <v>0</v>
      </c>
      <c r="H52" s="661">
        <f t="shared" si="6"/>
        <v>0</v>
      </c>
      <c r="I52" s="661">
        <f t="shared" si="6"/>
        <v>0</v>
      </c>
      <c r="J52" s="661">
        <f t="shared" si="6"/>
        <v>0</v>
      </c>
      <c r="K52" s="661">
        <f t="shared" si="6"/>
        <v>0</v>
      </c>
      <c r="L52" s="661">
        <f t="shared" si="6"/>
        <v>0</v>
      </c>
      <c r="M52" s="661">
        <f t="shared" si="6"/>
        <v>0</v>
      </c>
      <c r="N52" s="661">
        <f t="shared" si="6"/>
        <v>0</v>
      </c>
      <c r="O52" s="661">
        <f t="shared" si="6"/>
        <v>0</v>
      </c>
      <c r="P52" s="661">
        <f t="shared" si="6"/>
        <v>0</v>
      </c>
      <c r="Q52" s="661">
        <f t="shared" si="6"/>
        <v>0</v>
      </c>
      <c r="R52" s="661">
        <f t="shared" si="6"/>
        <v>0</v>
      </c>
      <c r="S52" s="661">
        <f t="shared" si="6"/>
        <v>0</v>
      </c>
      <c r="T52" s="661">
        <f t="shared" si="6"/>
        <v>0</v>
      </c>
      <c r="U52" s="661">
        <f t="shared" si="6"/>
        <v>0</v>
      </c>
      <c r="V52" s="661">
        <f t="shared" si="6"/>
        <v>0</v>
      </c>
      <c r="W52" s="661">
        <f t="shared" si="6"/>
        <v>0</v>
      </c>
      <c r="X52" s="661">
        <f t="shared" si="6"/>
        <v>0</v>
      </c>
      <c r="Y52" s="661">
        <f t="shared" si="6"/>
        <v>0</v>
      </c>
      <c r="Z52" s="662">
        <f t="shared" si="6"/>
        <v>0</v>
      </c>
      <c r="AA52" s="649" t="s">
        <v>183</v>
      </c>
    </row>
    <row r="53" spans="2:27">
      <c r="D53" s="663"/>
      <c r="E53" s="663"/>
      <c r="F53" s="663"/>
      <c r="G53" s="663"/>
      <c r="H53" s="663"/>
      <c r="I53" s="663"/>
      <c r="J53" s="663"/>
      <c r="K53" s="663"/>
      <c r="L53" s="663"/>
      <c r="M53" s="663"/>
      <c r="N53" s="663"/>
      <c r="O53" s="663"/>
      <c r="P53" s="663"/>
      <c r="Q53" s="663"/>
      <c r="R53" s="663"/>
      <c r="S53" s="663"/>
      <c r="T53" s="663"/>
      <c r="U53" s="663"/>
      <c r="V53" s="663"/>
      <c r="W53" s="663"/>
      <c r="X53" s="663"/>
      <c r="Y53" s="663"/>
      <c r="Z53" s="663"/>
    </row>
    <row r="54" spans="2:27">
      <c r="D54" s="663"/>
      <c r="F54" s="663"/>
      <c r="G54" s="663"/>
      <c r="H54" s="663"/>
      <c r="I54" s="663"/>
      <c r="J54" s="663"/>
      <c r="K54" s="663"/>
      <c r="L54" s="663"/>
      <c r="M54" s="663"/>
      <c r="N54" s="663"/>
      <c r="O54" s="663"/>
      <c r="P54" s="663"/>
      <c r="Q54" s="663"/>
      <c r="R54" s="663"/>
      <c r="S54" s="663"/>
      <c r="T54" s="663"/>
      <c r="U54" s="663"/>
      <c r="V54" s="663"/>
      <c r="W54" s="663"/>
      <c r="X54" s="663"/>
      <c r="Y54" s="663"/>
      <c r="Z54" s="663"/>
    </row>
    <row r="56" spans="2:27" ht="18" customHeight="1" thickBot="1">
      <c r="B56" s="634" t="s">
        <v>189</v>
      </c>
      <c r="C56" s="673"/>
      <c r="D56" s="1199" t="s">
        <v>190</v>
      </c>
      <c r="E56" s="1200"/>
      <c r="F56" s="1200"/>
      <c r="G56" s="1200"/>
      <c r="H56" s="1200"/>
      <c r="I56" s="1201"/>
    </row>
    <row r="57" spans="2:27" ht="30.75" customHeight="1">
      <c r="B57" s="1179" t="s">
        <v>158</v>
      </c>
      <c r="C57" s="1181" t="s">
        <v>191</v>
      </c>
      <c r="D57" s="1195" t="s">
        <v>192</v>
      </c>
      <c r="E57" s="1197" t="s">
        <v>127</v>
      </c>
      <c r="F57" s="674" t="s">
        <v>193</v>
      </c>
      <c r="G57" s="674" t="s">
        <v>194</v>
      </c>
      <c r="H57" s="675" t="s">
        <v>195</v>
      </c>
      <c r="I57" s="676" t="s">
        <v>308</v>
      </c>
    </row>
    <row r="58" spans="2:27" ht="24" customHeight="1" thickBot="1">
      <c r="B58" s="1193"/>
      <c r="C58" s="1194"/>
      <c r="D58" s="1196"/>
      <c r="E58" s="1198"/>
      <c r="F58" s="677" t="s">
        <v>196</v>
      </c>
      <c r="G58" s="677" t="s">
        <v>197</v>
      </c>
      <c r="H58" s="678" t="s">
        <v>198</v>
      </c>
      <c r="I58" s="679" t="s">
        <v>198</v>
      </c>
    </row>
    <row r="59" spans="2:27" ht="17.25" customHeight="1">
      <c r="B59" s="680">
        <f t="shared" ref="B59:C74" si="7">B36</f>
        <v>1</v>
      </c>
      <c r="C59" s="681" t="str">
        <f t="shared" si="7"/>
        <v>ZŠ a MŠ Březová</v>
      </c>
      <c r="D59" s="682" t="s">
        <v>127</v>
      </c>
      <c r="E59" s="683" t="s">
        <v>199</v>
      </c>
      <c r="F59" s="684"/>
      <c r="G59" s="684"/>
      <c r="H59" s="685"/>
      <c r="I59" s="686"/>
      <c r="J59" s="687"/>
      <c r="K59" s="1012">
        <f>F59/'REFERENČNÍ ÚDAJE'!E14</f>
        <v>0</v>
      </c>
      <c r="L59" s="1012">
        <f>G59/'REFERENČNÍ ÚDAJE'!I14</f>
        <v>0</v>
      </c>
      <c r="M59" s="1012">
        <f>H59/'REFERENČNÍ ÚDAJE'!M14</f>
        <v>0</v>
      </c>
      <c r="N59" s="1013"/>
    </row>
    <row r="60" spans="2:27" ht="17.25" customHeight="1">
      <c r="B60" s="688">
        <f t="shared" si="7"/>
        <v>2</v>
      </c>
      <c r="C60" s="689" t="str">
        <f t="shared" si="7"/>
        <v>ZŠ Na Pěšině</v>
      </c>
      <c r="D60" s="690" t="s">
        <v>127</v>
      </c>
      <c r="E60" s="691" t="s">
        <v>199</v>
      </c>
      <c r="F60" s="692"/>
      <c r="G60" s="692"/>
      <c r="H60" s="693"/>
      <c r="I60" s="694"/>
      <c r="J60" s="687"/>
      <c r="K60" s="1012">
        <f>F60/'REFERENČNÍ ÚDAJE'!E15</f>
        <v>0</v>
      </c>
      <c r="L60" s="1012">
        <f>G60/'REFERENČNÍ ÚDAJE'!I15</f>
        <v>0</v>
      </c>
      <c r="M60" s="1012">
        <f>H60/'REFERENČNÍ ÚDAJE'!M15</f>
        <v>0</v>
      </c>
      <c r="N60" s="1013"/>
    </row>
    <row r="61" spans="2:27" ht="17.25" customHeight="1">
      <c r="B61" s="688">
        <f t="shared" si="7"/>
        <v>3</v>
      </c>
      <c r="C61" s="689" t="str">
        <f t="shared" si="7"/>
        <v>ZŠ Školní</v>
      </c>
      <c r="D61" s="690" t="s">
        <v>127</v>
      </c>
      <c r="E61" s="691" t="s">
        <v>199</v>
      </c>
      <c r="F61" s="692"/>
      <c r="G61" s="692"/>
      <c r="H61" s="693"/>
      <c r="I61" s="694"/>
      <c r="J61" s="687"/>
      <c r="K61" s="1012">
        <f>F61/'REFERENČNÍ ÚDAJE'!E16</f>
        <v>0</v>
      </c>
      <c r="L61" s="1012">
        <f>G61/'REFERENČNÍ ÚDAJE'!I16</f>
        <v>0</v>
      </c>
      <c r="M61" s="1012">
        <f>H61/'REFERENČNÍ ÚDAJE'!M16</f>
        <v>0</v>
      </c>
      <c r="N61" s="1013"/>
    </row>
    <row r="62" spans="2:27" ht="17.25" customHeight="1">
      <c r="B62" s="688">
        <f t="shared" si="7"/>
        <v>4</v>
      </c>
      <c r="C62" s="689" t="str">
        <f t="shared" si="7"/>
        <v>MŠ Školní</v>
      </c>
      <c r="D62" s="690" t="s">
        <v>127</v>
      </c>
      <c r="E62" s="691" t="s">
        <v>199</v>
      </c>
      <c r="F62" s="692"/>
      <c r="G62" s="692"/>
      <c r="H62" s="693"/>
      <c r="I62" s="694"/>
      <c r="J62" s="687"/>
      <c r="K62" s="1012">
        <f>F62/'REFERENČNÍ ÚDAJE'!E17</f>
        <v>0</v>
      </c>
      <c r="L62" s="1012">
        <f>G62/'REFERENČNÍ ÚDAJE'!I17</f>
        <v>0</v>
      </c>
      <c r="M62" s="1012">
        <f>H62/'REFERENČNÍ ÚDAJE'!M17</f>
        <v>0</v>
      </c>
      <c r="N62" s="1013"/>
    </row>
    <row r="63" spans="2:27" ht="17.25" customHeight="1">
      <c r="B63" s="688">
        <f t="shared" si="7"/>
        <v>5</v>
      </c>
      <c r="C63" s="689" t="str">
        <f t="shared" si="7"/>
        <v>ZŠ Kosmonautů</v>
      </c>
      <c r="D63" s="690" t="s">
        <v>127</v>
      </c>
      <c r="E63" s="691" t="s">
        <v>199</v>
      </c>
      <c r="F63" s="692"/>
      <c r="G63" s="692"/>
      <c r="H63" s="693"/>
      <c r="I63" s="694"/>
      <c r="J63" s="687"/>
      <c r="K63" s="1012">
        <f>F63/'REFERENČNÍ ÚDAJE'!E18</f>
        <v>0</v>
      </c>
      <c r="L63" s="1012">
        <f>G63/'REFERENČNÍ ÚDAJE'!I18</f>
        <v>0</v>
      </c>
      <c r="M63" s="1012">
        <f>H63/'REFERENČNÍ ÚDAJE'!M18</f>
        <v>0</v>
      </c>
      <c r="N63" s="1013"/>
    </row>
    <row r="64" spans="2:27" ht="17.25" customHeight="1">
      <c r="B64" s="688">
        <f t="shared" si="7"/>
        <v>6</v>
      </c>
      <c r="C64" s="689" t="str">
        <f t="shared" si="7"/>
        <v>MŠ Kosmonautů</v>
      </c>
      <c r="D64" s="690" t="s">
        <v>127</v>
      </c>
      <c r="E64" s="691" t="s">
        <v>199</v>
      </c>
      <c r="F64" s="692"/>
      <c r="G64" s="692"/>
      <c r="H64" s="693"/>
      <c r="I64" s="694"/>
      <c r="J64" s="687"/>
      <c r="K64" s="1012">
        <f>F64/'REFERENČNÍ ÚDAJE'!E19</f>
        <v>0</v>
      </c>
      <c r="L64" s="1012">
        <f>G64/'REFERENČNÍ ÚDAJE'!I19</f>
        <v>0</v>
      </c>
      <c r="M64" s="1012">
        <f>H64/'REFERENČNÍ ÚDAJE'!M19</f>
        <v>0</v>
      </c>
      <c r="N64" s="1013"/>
    </row>
    <row r="65" spans="2:25" ht="17.25" customHeight="1">
      <c r="B65" s="688">
        <f t="shared" si="7"/>
        <v>7</v>
      </c>
      <c r="C65" s="689" t="str">
        <f t="shared" si="7"/>
        <v>ŠJ Sládkova</v>
      </c>
      <c r="D65" s="690" t="s">
        <v>127</v>
      </c>
      <c r="E65" s="691" t="s">
        <v>199</v>
      </c>
      <c r="F65" s="692"/>
      <c r="G65" s="692"/>
      <c r="H65" s="693"/>
      <c r="I65" s="694"/>
      <c r="J65" s="687"/>
      <c r="K65" s="1012">
        <f>F65/'REFERENČNÍ ÚDAJE'!E20</f>
        <v>0</v>
      </c>
      <c r="L65" s="1012">
        <f>G65/'REFERENČNÍ ÚDAJE'!I20</f>
        <v>0</v>
      </c>
      <c r="M65" s="1012">
        <f>H65/'REFERENČNÍ ÚDAJE'!M20</f>
        <v>0</v>
      </c>
      <c r="N65" s="1013"/>
    </row>
    <row r="66" spans="2:25" ht="17.25" customHeight="1">
      <c r="B66" s="688">
        <f t="shared" si="7"/>
        <v>8</v>
      </c>
      <c r="C66" s="689" t="str">
        <f t="shared" si="7"/>
        <v>Městské divadlo</v>
      </c>
      <c r="D66" s="690" t="s">
        <v>127</v>
      </c>
      <c r="E66" s="691" t="s">
        <v>199</v>
      </c>
      <c r="F66" s="692"/>
      <c r="G66" s="692"/>
      <c r="H66" s="693"/>
      <c r="I66" s="694"/>
      <c r="J66" s="687"/>
      <c r="K66" s="1012">
        <f>F66/'REFERENČNÍ ÚDAJE'!E21</f>
        <v>0</v>
      </c>
      <c r="L66" s="1012">
        <f>G66/'REFERENČNÍ ÚDAJE'!I21</f>
        <v>0</v>
      </c>
      <c r="M66" s="1012">
        <f>H66/'REFERENČNÍ ÚDAJE'!M21</f>
        <v>0</v>
      </c>
      <c r="N66" s="1013"/>
    </row>
    <row r="67" spans="2:25" ht="17.25" customHeight="1">
      <c r="B67" s="688">
        <f t="shared" si="7"/>
        <v>9</v>
      </c>
      <c r="C67" s="689" t="str">
        <f t="shared" si="7"/>
        <v>ZŠ Vojanova</v>
      </c>
      <c r="D67" s="690" t="s">
        <v>127</v>
      </c>
      <c r="E67" s="691" t="s">
        <v>199</v>
      </c>
      <c r="F67" s="692"/>
      <c r="G67" s="692"/>
      <c r="H67" s="693"/>
      <c r="I67" s="694"/>
      <c r="J67" s="687"/>
      <c r="K67" s="1012">
        <f>F67/'REFERENČNÍ ÚDAJE'!E22</f>
        <v>0</v>
      </c>
      <c r="L67" s="1012">
        <f>G67/'REFERENČNÍ ÚDAJE'!I22</f>
        <v>0</v>
      </c>
      <c r="M67" s="1012">
        <f>H67/'REFERENČNÍ ÚDAJE'!M22</f>
        <v>0</v>
      </c>
      <c r="N67" s="1013"/>
    </row>
    <row r="68" spans="2:25" ht="17.25" customHeight="1">
      <c r="B68" s="688">
        <f t="shared" si="7"/>
        <v>10</v>
      </c>
      <c r="C68" s="689" t="str">
        <f t="shared" si="7"/>
        <v>MŠ Riegrova</v>
      </c>
      <c r="D68" s="690" t="s">
        <v>127</v>
      </c>
      <c r="E68" s="691" t="s">
        <v>199</v>
      </c>
      <c r="F68" s="692"/>
      <c r="G68" s="692"/>
      <c r="H68" s="693"/>
      <c r="I68" s="694"/>
      <c r="J68" s="687"/>
      <c r="K68" s="1012">
        <f>F68/'REFERENČNÍ ÚDAJE'!E23</f>
        <v>0</v>
      </c>
      <c r="L68" s="1012">
        <f>G68/'REFERENČNÍ ÚDAJE'!I23</f>
        <v>0</v>
      </c>
      <c r="M68" s="1012">
        <f>H68/'REFERENČNÍ ÚDAJE'!M23</f>
        <v>0</v>
      </c>
      <c r="N68" s="1013"/>
    </row>
    <row r="69" spans="2:25" ht="17.25" customHeight="1">
      <c r="B69" s="688">
        <f t="shared" si="7"/>
        <v>11</v>
      </c>
      <c r="C69" s="689" t="str">
        <f t="shared" si="7"/>
        <v>ZŠ Míru</v>
      </c>
      <c r="D69" s="690" t="s">
        <v>127</v>
      </c>
      <c r="E69" s="691" t="s">
        <v>199</v>
      </c>
      <c r="F69" s="692"/>
      <c r="G69" s="692"/>
      <c r="H69" s="693"/>
      <c r="I69" s="694"/>
      <c r="J69" s="687"/>
      <c r="K69" s="1012">
        <f>F69/'REFERENČNÍ ÚDAJE'!E24</f>
        <v>0</v>
      </c>
      <c r="L69" s="1012">
        <f>G69/'REFERENČNÍ ÚDAJE'!I24</f>
        <v>0</v>
      </c>
      <c r="M69" s="1012">
        <f>H69/'REFERENČNÍ ÚDAJE'!M24</f>
        <v>0</v>
      </c>
      <c r="N69" s="1013"/>
    </row>
    <row r="70" spans="2:25" ht="17.25" customHeight="1">
      <c r="B70" s="688">
        <f t="shared" si="7"/>
        <v>12</v>
      </c>
      <c r="C70" s="689" t="str">
        <f t="shared" si="7"/>
        <v>Městská knihovna</v>
      </c>
      <c r="D70" s="690" t="s">
        <v>127</v>
      </c>
      <c r="E70" s="691" t="s">
        <v>199</v>
      </c>
      <c r="F70" s="692"/>
      <c r="G70" s="692"/>
      <c r="H70" s="693"/>
      <c r="I70" s="694"/>
      <c r="J70" s="687"/>
      <c r="K70" s="1012">
        <f>F70/'REFERENČNÍ ÚDAJE'!E25</f>
        <v>0</v>
      </c>
      <c r="L70" s="1012">
        <f>G70/'REFERENČNÍ ÚDAJE'!I25</f>
        <v>0</v>
      </c>
      <c r="M70" s="1012">
        <f>H70/'REFERENČNÍ ÚDAJE'!M25</f>
        <v>0</v>
      </c>
      <c r="N70" s="1013"/>
    </row>
    <row r="71" spans="2:25" ht="17.25" customHeight="1">
      <c r="B71" s="688">
        <f t="shared" si="7"/>
        <v>13</v>
      </c>
      <c r="C71" s="689" t="str">
        <f t="shared" si="7"/>
        <v>Kino</v>
      </c>
      <c r="D71" s="690" t="s">
        <v>127</v>
      </c>
      <c r="E71" s="691" t="s">
        <v>199</v>
      </c>
      <c r="F71" s="692"/>
      <c r="G71" s="692"/>
      <c r="H71" s="693"/>
      <c r="I71" s="694"/>
      <c r="J71" s="687"/>
      <c r="K71" s="1012">
        <f>F71/'REFERENČNÍ ÚDAJE'!E26</f>
        <v>0</v>
      </c>
      <c r="L71" s="1012">
        <f>G71/'REFERENČNÍ ÚDAJE'!I26</f>
        <v>0</v>
      </c>
      <c r="M71" s="1012">
        <f>H71/'REFERENČNÍ ÚDAJE'!M26</f>
        <v>0</v>
      </c>
      <c r="N71" s="1013"/>
    </row>
    <row r="72" spans="2:25" ht="17.25" customHeight="1">
      <c r="B72" s="688">
        <f t="shared" si="7"/>
        <v>14</v>
      </c>
      <c r="C72" s="689" t="str">
        <f t="shared" si="7"/>
        <v>Magistrát B1+B2</v>
      </c>
      <c r="D72" s="690" t="s">
        <v>127</v>
      </c>
      <c r="E72" s="691" t="s">
        <v>199</v>
      </c>
      <c r="F72" s="692"/>
      <c r="G72" s="692"/>
      <c r="H72" s="693"/>
      <c r="I72" s="694"/>
      <c r="J72" s="687"/>
      <c r="K72" s="1012">
        <f>F72/'REFERENČNÍ ÚDAJE'!E27</f>
        <v>0</v>
      </c>
      <c r="L72" s="1012">
        <f>G72/'REFERENČNÍ ÚDAJE'!I27</f>
        <v>0</v>
      </c>
      <c r="M72" s="1012">
        <f>H72/'REFERENČNÍ ÚDAJE'!M27</f>
        <v>0</v>
      </c>
      <c r="N72" s="1013"/>
    </row>
    <row r="73" spans="2:25" ht="17.25" customHeight="1">
      <c r="B73" s="688">
        <f t="shared" si="7"/>
        <v>15</v>
      </c>
      <c r="C73" s="689" t="str">
        <f t="shared" si="7"/>
        <v>Zimní stadion</v>
      </c>
      <c r="D73" s="690" t="s">
        <v>127</v>
      </c>
      <c r="E73" s="691" t="s">
        <v>199</v>
      </c>
      <c r="F73" s="692"/>
      <c r="G73" s="692"/>
      <c r="H73" s="693"/>
      <c r="I73" s="694"/>
      <c r="J73" s="687"/>
      <c r="K73" s="1012">
        <f>F73/'REFERENČNÍ ÚDAJE'!E28</f>
        <v>0</v>
      </c>
      <c r="L73" s="1012">
        <f>G73/'REFERENČNÍ ÚDAJE'!I28</f>
        <v>0</v>
      </c>
      <c r="M73" s="1012">
        <f>H73/'REFERENČNÍ ÚDAJE'!M28</f>
        <v>0</v>
      </c>
      <c r="N73" s="1013"/>
    </row>
    <row r="74" spans="2:25" ht="17.25" customHeight="1" thickBot="1">
      <c r="B74" s="650">
        <f t="shared" si="7"/>
        <v>16</v>
      </c>
      <c r="C74" s="695" t="str">
        <f t="shared" si="7"/>
        <v>Aquapark</v>
      </c>
      <c r="D74" s="696" t="s">
        <v>127</v>
      </c>
      <c r="E74" s="697" t="s">
        <v>199</v>
      </c>
      <c r="F74" s="698"/>
      <c r="G74" s="698"/>
      <c r="H74" s="699"/>
      <c r="I74" s="700"/>
      <c r="J74" s="687"/>
      <c r="K74" s="1012"/>
      <c r="L74" s="1012">
        <f>G74/'REFERENČNÍ ÚDAJE'!I29</f>
        <v>0</v>
      </c>
      <c r="M74" s="1012">
        <f>H74/'REFERENČNÍ ÚDAJE'!M29</f>
        <v>0</v>
      </c>
      <c r="N74" s="1012">
        <f>I74/'REFERENČNÍ ÚDAJE'!Q29</f>
        <v>0</v>
      </c>
    </row>
    <row r="75" spans="2:25" ht="17.25" customHeight="1" thickBot="1">
      <c r="B75" s="701" t="s">
        <v>127</v>
      </c>
      <c r="C75" s="702" t="s">
        <v>184</v>
      </c>
      <c r="D75" s="703" t="s">
        <v>127</v>
      </c>
      <c r="E75" s="704" t="s">
        <v>200</v>
      </c>
      <c r="F75" s="705">
        <f>SUM(F59:F74)</f>
        <v>0</v>
      </c>
      <c r="G75" s="705">
        <f>SUM(G59:G74)</f>
        <v>0</v>
      </c>
      <c r="H75" s="706">
        <f>SUM(H59:H74)</f>
        <v>0</v>
      </c>
      <c r="I75" s="707">
        <f>SUM(I59:I74)</f>
        <v>0</v>
      </c>
      <c r="J75" s="687"/>
      <c r="K75" s="1012">
        <f>F75/'REFERENČNÍ ÚDAJE'!E30</f>
        <v>0</v>
      </c>
      <c r="L75" s="1012">
        <f>G75/'REFERENČNÍ ÚDAJE'!I30</f>
        <v>0</v>
      </c>
      <c r="M75" s="1012">
        <f>H75/'REFERENČNÍ ÚDAJE'!M30</f>
        <v>0</v>
      </c>
      <c r="N75" s="1012">
        <f>I75/'REFERENČNÍ ÚDAJE'!Q30</f>
        <v>0</v>
      </c>
    </row>
    <row r="76" spans="2:25">
      <c r="D76" s="708"/>
      <c r="F76" s="709"/>
      <c r="G76" s="709"/>
      <c r="H76" s="709"/>
      <c r="I76" s="709"/>
      <c r="K76" s="663"/>
      <c r="L76" s="663"/>
      <c r="M76" s="663"/>
      <c r="N76" s="663"/>
      <c r="O76" s="663"/>
      <c r="P76" s="663"/>
      <c r="Q76" s="663"/>
    </row>
    <row r="77" spans="2:25">
      <c r="D77" s="663"/>
      <c r="E77" s="663"/>
      <c r="F77" s="709"/>
      <c r="G77" s="709"/>
      <c r="H77" s="709"/>
      <c r="I77" s="709"/>
      <c r="J77" s="663"/>
      <c r="K77" s="663"/>
      <c r="L77" s="663"/>
      <c r="M77" s="663"/>
      <c r="N77" s="663"/>
      <c r="O77" s="663"/>
      <c r="P77" s="663"/>
      <c r="Q77" s="663"/>
      <c r="R77" s="663"/>
      <c r="S77" s="663"/>
      <c r="T77" s="663"/>
      <c r="U77" s="663"/>
      <c r="V77" s="663"/>
      <c r="W77" s="663"/>
      <c r="X77" s="663"/>
      <c r="Y77" s="663"/>
    </row>
    <row r="79" spans="2:25" ht="18.75" customHeight="1" thickBot="1">
      <c r="B79" s="634" t="s">
        <v>201</v>
      </c>
      <c r="C79" s="673"/>
      <c r="D79" s="1199" t="s">
        <v>202</v>
      </c>
      <c r="E79" s="1200"/>
      <c r="F79" s="1200"/>
      <c r="G79" s="1200"/>
      <c r="H79" s="1200"/>
      <c r="I79" s="1200"/>
      <c r="J79" s="1201"/>
    </row>
    <row r="80" spans="2:25" ht="25.5" customHeight="1">
      <c r="B80" s="1179" t="s">
        <v>158</v>
      </c>
      <c r="C80" s="1181" t="s">
        <v>191</v>
      </c>
      <c r="D80" s="1189" t="s">
        <v>203</v>
      </c>
      <c r="E80" s="1197" t="s">
        <v>127</v>
      </c>
      <c r="F80" s="710" t="str">
        <f>F57</f>
        <v>Teplo</v>
      </c>
      <c r="G80" s="710" t="str">
        <f>G57</f>
        <v>Elektřina</v>
      </c>
      <c r="H80" s="675" t="str">
        <f>H57</f>
        <v>Voda</v>
      </c>
      <c r="I80" s="674" t="str">
        <f>I57</f>
        <v>Voda z vrtu</v>
      </c>
      <c r="J80" s="711" t="s">
        <v>204</v>
      </c>
      <c r="K80" s="649" t="s">
        <v>183</v>
      </c>
    </row>
    <row r="81" spans="2:13" ht="18.75" customHeight="1" thickBot="1">
      <c r="B81" s="1193"/>
      <c r="C81" s="1194"/>
      <c r="D81" s="1202"/>
      <c r="E81" s="1198"/>
      <c r="F81" s="677" t="s">
        <v>205</v>
      </c>
      <c r="G81" s="677" t="s">
        <v>205</v>
      </c>
      <c r="H81" s="678" t="s">
        <v>205</v>
      </c>
      <c r="I81" s="678" t="s">
        <v>205</v>
      </c>
      <c r="J81" s="679" t="s">
        <v>205</v>
      </c>
      <c r="L81" s="712" t="s">
        <v>206</v>
      </c>
    </row>
    <row r="82" spans="2:13" ht="17.25" customHeight="1">
      <c r="B82" s="680">
        <f t="shared" ref="B82:C97" si="8">B59</f>
        <v>1</v>
      </c>
      <c r="C82" s="681" t="str">
        <f t="shared" si="8"/>
        <v>ZŠ a MŠ Březová</v>
      </c>
      <c r="D82" s="713">
        <f t="shared" ref="D82:D98" si="9">SUM(F82:J82)</f>
        <v>0</v>
      </c>
      <c r="E82" s="683" t="s">
        <v>199</v>
      </c>
      <c r="F82" s="714"/>
      <c r="G82" s="714"/>
      <c r="H82" s="715"/>
      <c r="I82" s="715"/>
      <c r="J82" s="716"/>
      <c r="L82" s="717" t="str">
        <f t="shared" ref="L82:L98" si="10">IF(D82=D36,"OK","!")</f>
        <v>OK</v>
      </c>
      <c r="M82" s="718" t="str">
        <f t="shared" ref="M82:M98" si="11">CONCATENATE("(Buňka ",ADDRESS(ROW(D82),COLUMN(D82),4)," se musí rovnat buňce ",ADDRESS(ROW(D36),COLUMN(D36),4),")")</f>
        <v>(Buňka D82 se musí rovnat buňce D36)</v>
      </c>
    </row>
    <row r="83" spans="2:13" ht="17.25" customHeight="1">
      <c r="B83" s="688">
        <f t="shared" si="8"/>
        <v>2</v>
      </c>
      <c r="C83" s="689" t="str">
        <f t="shared" si="8"/>
        <v>ZŠ Na Pěšině</v>
      </c>
      <c r="D83" s="719">
        <f t="shared" si="9"/>
        <v>0</v>
      </c>
      <c r="E83" s="691" t="s">
        <v>199</v>
      </c>
      <c r="F83" s="720"/>
      <c r="G83" s="720"/>
      <c r="H83" s="721"/>
      <c r="I83" s="721"/>
      <c r="J83" s="722"/>
      <c r="L83" s="717" t="str">
        <f t="shared" si="10"/>
        <v>OK</v>
      </c>
      <c r="M83" s="718" t="str">
        <f t="shared" si="11"/>
        <v>(Buňka D83 se musí rovnat buňce D37)</v>
      </c>
    </row>
    <row r="84" spans="2:13" ht="17.25" customHeight="1">
      <c r="B84" s="688">
        <f t="shared" si="8"/>
        <v>3</v>
      </c>
      <c r="C84" s="689" t="str">
        <f t="shared" si="8"/>
        <v>ZŠ Školní</v>
      </c>
      <c r="D84" s="719">
        <f t="shared" si="9"/>
        <v>0</v>
      </c>
      <c r="E84" s="691" t="s">
        <v>199</v>
      </c>
      <c r="F84" s="720"/>
      <c r="G84" s="720"/>
      <c r="H84" s="721"/>
      <c r="I84" s="721"/>
      <c r="J84" s="722"/>
      <c r="L84" s="717" t="str">
        <f t="shared" si="10"/>
        <v>OK</v>
      </c>
      <c r="M84" s="718" t="str">
        <f t="shared" si="11"/>
        <v>(Buňka D84 se musí rovnat buňce D38)</v>
      </c>
    </row>
    <row r="85" spans="2:13" ht="17.25" customHeight="1">
      <c r="B85" s="688">
        <f t="shared" si="8"/>
        <v>4</v>
      </c>
      <c r="C85" s="689" t="str">
        <f t="shared" si="8"/>
        <v>MŠ Školní</v>
      </c>
      <c r="D85" s="719">
        <f t="shared" si="9"/>
        <v>0</v>
      </c>
      <c r="E85" s="691" t="s">
        <v>199</v>
      </c>
      <c r="F85" s="720"/>
      <c r="G85" s="720"/>
      <c r="H85" s="721"/>
      <c r="I85" s="721"/>
      <c r="J85" s="722"/>
      <c r="L85" s="717" t="str">
        <f t="shared" si="10"/>
        <v>OK</v>
      </c>
      <c r="M85" s="718" t="str">
        <f t="shared" si="11"/>
        <v>(Buňka D85 se musí rovnat buňce D39)</v>
      </c>
    </row>
    <row r="86" spans="2:13" ht="17.25" customHeight="1">
      <c r="B86" s="688">
        <f t="shared" si="8"/>
        <v>5</v>
      </c>
      <c r="C86" s="689" t="str">
        <f t="shared" si="8"/>
        <v>ZŠ Kosmonautů</v>
      </c>
      <c r="D86" s="719">
        <f t="shared" si="9"/>
        <v>0</v>
      </c>
      <c r="E86" s="691" t="s">
        <v>199</v>
      </c>
      <c r="F86" s="720"/>
      <c r="G86" s="720"/>
      <c r="H86" s="721"/>
      <c r="I86" s="721"/>
      <c r="J86" s="722"/>
      <c r="L86" s="717" t="str">
        <f t="shared" si="10"/>
        <v>OK</v>
      </c>
      <c r="M86" s="718" t="str">
        <f t="shared" si="11"/>
        <v>(Buňka D86 se musí rovnat buňce D40)</v>
      </c>
    </row>
    <row r="87" spans="2:13" ht="17.25" customHeight="1">
      <c r="B87" s="688">
        <f t="shared" si="8"/>
        <v>6</v>
      </c>
      <c r="C87" s="689" t="str">
        <f t="shared" si="8"/>
        <v>MŠ Kosmonautů</v>
      </c>
      <c r="D87" s="719">
        <f t="shared" si="9"/>
        <v>0</v>
      </c>
      <c r="E87" s="691" t="s">
        <v>199</v>
      </c>
      <c r="F87" s="720"/>
      <c r="G87" s="720"/>
      <c r="H87" s="721"/>
      <c r="I87" s="721"/>
      <c r="J87" s="722"/>
      <c r="L87" s="717" t="str">
        <f t="shared" si="10"/>
        <v>OK</v>
      </c>
      <c r="M87" s="718" t="str">
        <f t="shared" si="11"/>
        <v>(Buňka D87 se musí rovnat buňce D41)</v>
      </c>
    </row>
    <row r="88" spans="2:13" ht="17.25" customHeight="1">
      <c r="B88" s="688">
        <f t="shared" si="8"/>
        <v>7</v>
      </c>
      <c r="C88" s="689" t="str">
        <f t="shared" si="8"/>
        <v>ŠJ Sládkova</v>
      </c>
      <c r="D88" s="719">
        <f t="shared" si="9"/>
        <v>0</v>
      </c>
      <c r="E88" s="691" t="s">
        <v>199</v>
      </c>
      <c r="F88" s="720"/>
      <c r="G88" s="720"/>
      <c r="H88" s="721"/>
      <c r="I88" s="721"/>
      <c r="J88" s="722"/>
      <c r="L88" s="717" t="str">
        <f t="shared" si="10"/>
        <v>OK</v>
      </c>
      <c r="M88" s="718" t="str">
        <f t="shared" si="11"/>
        <v>(Buňka D88 se musí rovnat buňce D42)</v>
      </c>
    </row>
    <row r="89" spans="2:13" ht="17.25" customHeight="1">
      <c r="B89" s="688">
        <f t="shared" si="8"/>
        <v>8</v>
      </c>
      <c r="C89" s="689" t="str">
        <f t="shared" si="8"/>
        <v>Městské divadlo</v>
      </c>
      <c r="D89" s="719">
        <f t="shared" si="9"/>
        <v>0</v>
      </c>
      <c r="E89" s="691" t="s">
        <v>199</v>
      </c>
      <c r="F89" s="720"/>
      <c r="G89" s="720"/>
      <c r="H89" s="721"/>
      <c r="I89" s="721"/>
      <c r="J89" s="722"/>
      <c r="L89" s="717" t="str">
        <f t="shared" si="10"/>
        <v>OK</v>
      </c>
      <c r="M89" s="718" t="str">
        <f t="shared" si="11"/>
        <v>(Buňka D89 se musí rovnat buňce D43)</v>
      </c>
    </row>
    <row r="90" spans="2:13" ht="17.25" customHeight="1">
      <c r="B90" s="688">
        <f t="shared" si="8"/>
        <v>9</v>
      </c>
      <c r="C90" s="689" t="str">
        <f t="shared" si="8"/>
        <v>ZŠ Vojanova</v>
      </c>
      <c r="D90" s="719">
        <f t="shared" si="9"/>
        <v>0</v>
      </c>
      <c r="E90" s="691" t="s">
        <v>199</v>
      </c>
      <c r="F90" s="720"/>
      <c r="G90" s="720"/>
      <c r="H90" s="721"/>
      <c r="I90" s="721"/>
      <c r="J90" s="722"/>
      <c r="L90" s="717" t="str">
        <f t="shared" si="10"/>
        <v>OK</v>
      </c>
      <c r="M90" s="718" t="str">
        <f t="shared" si="11"/>
        <v>(Buňka D90 se musí rovnat buňce D44)</v>
      </c>
    </row>
    <row r="91" spans="2:13" ht="17.25" customHeight="1">
      <c r="B91" s="688">
        <f t="shared" si="8"/>
        <v>10</v>
      </c>
      <c r="C91" s="689" t="str">
        <f t="shared" si="8"/>
        <v>MŠ Riegrova</v>
      </c>
      <c r="D91" s="719">
        <f t="shared" si="9"/>
        <v>0</v>
      </c>
      <c r="E91" s="691" t="s">
        <v>199</v>
      </c>
      <c r="F91" s="720"/>
      <c r="G91" s="720"/>
      <c r="H91" s="721"/>
      <c r="I91" s="721"/>
      <c r="J91" s="722"/>
      <c r="L91" s="717" t="str">
        <f t="shared" si="10"/>
        <v>OK</v>
      </c>
      <c r="M91" s="718" t="str">
        <f t="shared" si="11"/>
        <v>(Buňka D91 se musí rovnat buňce D45)</v>
      </c>
    </row>
    <row r="92" spans="2:13" ht="17.25" customHeight="1">
      <c r="B92" s="688">
        <f t="shared" si="8"/>
        <v>11</v>
      </c>
      <c r="C92" s="689" t="str">
        <f t="shared" si="8"/>
        <v>ZŠ Míru</v>
      </c>
      <c r="D92" s="719">
        <f t="shared" si="9"/>
        <v>0</v>
      </c>
      <c r="E92" s="691" t="s">
        <v>199</v>
      </c>
      <c r="F92" s="720"/>
      <c r="G92" s="720"/>
      <c r="H92" s="721"/>
      <c r="I92" s="721"/>
      <c r="J92" s="722"/>
      <c r="L92" s="717" t="str">
        <f t="shared" si="10"/>
        <v>OK</v>
      </c>
      <c r="M92" s="718" t="str">
        <f t="shared" si="11"/>
        <v>(Buňka D92 se musí rovnat buňce D46)</v>
      </c>
    </row>
    <row r="93" spans="2:13" ht="17.25" customHeight="1">
      <c r="B93" s="688">
        <f t="shared" si="8"/>
        <v>12</v>
      </c>
      <c r="C93" s="689" t="str">
        <f t="shared" si="8"/>
        <v>Městská knihovna</v>
      </c>
      <c r="D93" s="719">
        <f t="shared" si="9"/>
        <v>0</v>
      </c>
      <c r="E93" s="691" t="s">
        <v>199</v>
      </c>
      <c r="F93" s="720"/>
      <c r="G93" s="720"/>
      <c r="H93" s="721"/>
      <c r="I93" s="721"/>
      <c r="J93" s="722"/>
      <c r="L93" s="717" t="str">
        <f t="shared" si="10"/>
        <v>OK</v>
      </c>
      <c r="M93" s="718" t="str">
        <f t="shared" si="11"/>
        <v>(Buňka D93 se musí rovnat buňce D47)</v>
      </c>
    </row>
    <row r="94" spans="2:13" ht="17.25" customHeight="1">
      <c r="B94" s="688">
        <f t="shared" si="8"/>
        <v>13</v>
      </c>
      <c r="C94" s="689" t="str">
        <f t="shared" si="8"/>
        <v>Kino</v>
      </c>
      <c r="D94" s="719">
        <f t="shared" si="9"/>
        <v>0</v>
      </c>
      <c r="E94" s="691" t="s">
        <v>199</v>
      </c>
      <c r="F94" s="720"/>
      <c r="G94" s="720"/>
      <c r="H94" s="721"/>
      <c r="I94" s="721"/>
      <c r="J94" s="722"/>
      <c r="L94" s="717" t="str">
        <f t="shared" si="10"/>
        <v>OK</v>
      </c>
      <c r="M94" s="718" t="str">
        <f t="shared" si="11"/>
        <v>(Buňka D94 se musí rovnat buňce D48)</v>
      </c>
    </row>
    <row r="95" spans="2:13" ht="17.25" customHeight="1">
      <c r="B95" s="688">
        <f t="shared" si="8"/>
        <v>14</v>
      </c>
      <c r="C95" s="689" t="str">
        <f t="shared" si="8"/>
        <v>Magistrát B1+B2</v>
      </c>
      <c r="D95" s="719">
        <f t="shared" si="9"/>
        <v>0</v>
      </c>
      <c r="E95" s="691" t="s">
        <v>199</v>
      </c>
      <c r="F95" s="720"/>
      <c r="G95" s="720"/>
      <c r="H95" s="721"/>
      <c r="I95" s="721"/>
      <c r="J95" s="722"/>
      <c r="L95" s="717" t="str">
        <f t="shared" si="10"/>
        <v>OK</v>
      </c>
      <c r="M95" s="718" t="str">
        <f t="shared" si="11"/>
        <v>(Buňka D95 se musí rovnat buňce D49)</v>
      </c>
    </row>
    <row r="96" spans="2:13" ht="17.25" customHeight="1">
      <c r="B96" s="688">
        <f t="shared" si="8"/>
        <v>15</v>
      </c>
      <c r="C96" s="689" t="str">
        <f t="shared" si="8"/>
        <v>Zimní stadion</v>
      </c>
      <c r="D96" s="719">
        <f t="shared" si="9"/>
        <v>0</v>
      </c>
      <c r="E96" s="691" t="s">
        <v>199</v>
      </c>
      <c r="F96" s="720"/>
      <c r="G96" s="720"/>
      <c r="H96" s="721"/>
      <c r="I96" s="721"/>
      <c r="J96" s="722"/>
      <c r="L96" s="717" t="str">
        <f t="shared" si="10"/>
        <v>OK</v>
      </c>
      <c r="M96" s="718" t="str">
        <f t="shared" si="11"/>
        <v>(Buňka D96 se musí rovnat buňce D50)</v>
      </c>
    </row>
    <row r="97" spans="2:13" ht="17.25" customHeight="1" thickBot="1">
      <c r="B97" s="650">
        <f t="shared" si="8"/>
        <v>16</v>
      </c>
      <c r="C97" s="695" t="str">
        <f t="shared" si="8"/>
        <v>Aquapark</v>
      </c>
      <c r="D97" s="723">
        <f t="shared" si="9"/>
        <v>0</v>
      </c>
      <c r="E97" s="697" t="s">
        <v>199</v>
      </c>
      <c r="F97" s="724"/>
      <c r="G97" s="724"/>
      <c r="H97" s="725"/>
      <c r="I97" s="725"/>
      <c r="J97" s="726"/>
      <c r="L97" s="717" t="str">
        <f t="shared" si="10"/>
        <v>OK</v>
      </c>
      <c r="M97" s="718" t="str">
        <f t="shared" si="11"/>
        <v>(Buňka D97 se musí rovnat buňce D51)</v>
      </c>
    </row>
    <row r="98" spans="2:13" ht="17.25" customHeight="1" thickBot="1">
      <c r="B98" s="701" t="s">
        <v>127</v>
      </c>
      <c r="C98" s="702" t="s">
        <v>184</v>
      </c>
      <c r="D98" s="727">
        <f t="shared" si="9"/>
        <v>0</v>
      </c>
      <c r="E98" s="704" t="s">
        <v>200</v>
      </c>
      <c r="F98" s="728">
        <f t="shared" ref="F98:G98" si="12">SUM(F82:F97)</f>
        <v>0</v>
      </c>
      <c r="G98" s="728">
        <f t="shared" si="12"/>
        <v>0</v>
      </c>
      <c r="H98" s="729">
        <f>SUM(H82:H97)</f>
        <v>0</v>
      </c>
      <c r="I98" s="729">
        <f>SUM(I82:I97)</f>
        <v>0</v>
      </c>
      <c r="J98" s="730">
        <f>SUM(J82:J97)</f>
        <v>0</v>
      </c>
      <c r="K98" s="687"/>
      <c r="L98" s="717" t="str">
        <f t="shared" si="10"/>
        <v>OK</v>
      </c>
      <c r="M98" s="718" t="str">
        <f t="shared" si="11"/>
        <v>(Buňka D98 se musí rovnat buňce D52)</v>
      </c>
    </row>
    <row r="99" spans="2:13">
      <c r="D99" s="663"/>
      <c r="F99" s="731"/>
      <c r="G99" s="731"/>
      <c r="H99" s="731"/>
      <c r="I99" s="731"/>
      <c r="J99" s="731"/>
    </row>
    <row r="100" spans="2:13">
      <c r="D100" s="732"/>
      <c r="F100" s="731"/>
      <c r="G100" s="731"/>
      <c r="H100" s="731"/>
      <c r="I100" s="731"/>
      <c r="J100" s="731"/>
    </row>
    <row r="101" spans="2:13">
      <c r="F101" s="1012">
        <f>F98/'REFERENČNÍ ÚDAJE'!G30</f>
        <v>0</v>
      </c>
      <c r="G101" s="1012">
        <f>G98/'REFERENČNÍ ÚDAJE'!K30</f>
        <v>0</v>
      </c>
      <c r="H101" s="1012">
        <f>H98/'REFERENČNÍ ÚDAJE'!O30</f>
        <v>0</v>
      </c>
      <c r="I101" s="1012">
        <f>I98/'REFERENČNÍ ÚDAJE'!S30</f>
        <v>0</v>
      </c>
      <c r="J101" s="1012"/>
    </row>
  </sheetData>
  <mergeCells count="61">
    <mergeCell ref="B80:B81"/>
    <mergeCell ref="C80:C81"/>
    <mergeCell ref="D80:D81"/>
    <mergeCell ref="E80:E81"/>
    <mergeCell ref="D79:J79"/>
    <mergeCell ref="Y31:Y35"/>
    <mergeCell ref="B57:B58"/>
    <mergeCell ref="C57:C58"/>
    <mergeCell ref="D57:D58"/>
    <mergeCell ref="E57:E58"/>
    <mergeCell ref="D56:I56"/>
    <mergeCell ref="S31:S35"/>
    <mergeCell ref="T31:T35"/>
    <mergeCell ref="U31:U35"/>
    <mergeCell ref="V31:V35"/>
    <mergeCell ref="W31:W35"/>
    <mergeCell ref="X31:X35"/>
    <mergeCell ref="M31:M35"/>
    <mergeCell ref="N31:N35"/>
    <mergeCell ref="O31:O35"/>
    <mergeCell ref="P31:P35"/>
    <mergeCell ref="Q31:Q35"/>
    <mergeCell ref="R31:R35"/>
    <mergeCell ref="G31:G35"/>
    <mergeCell ref="H31:H35"/>
    <mergeCell ref="I31:I35"/>
    <mergeCell ref="J31:J35"/>
    <mergeCell ref="K31:K35"/>
    <mergeCell ref="L31:L35"/>
    <mergeCell ref="W4:W8"/>
    <mergeCell ref="X4:X8"/>
    <mergeCell ref="Y4:Y8"/>
    <mergeCell ref="D29:Z29"/>
    <mergeCell ref="B30:B35"/>
    <mergeCell ref="C30:C35"/>
    <mergeCell ref="D30:D35"/>
    <mergeCell ref="E30:E35"/>
    <mergeCell ref="Z30:Z35"/>
    <mergeCell ref="F31:F35"/>
    <mergeCell ref="Q4:Q8"/>
    <mergeCell ref="R4:R8"/>
    <mergeCell ref="S4:S8"/>
    <mergeCell ref="T4:T8"/>
    <mergeCell ref="U4:U8"/>
    <mergeCell ref="V4:V8"/>
    <mergeCell ref="P4:P8"/>
    <mergeCell ref="D2:Y2"/>
    <mergeCell ref="B3:B8"/>
    <mergeCell ref="C3:C8"/>
    <mergeCell ref="D3:D8"/>
    <mergeCell ref="E3:E8"/>
    <mergeCell ref="F4:F8"/>
    <mergeCell ref="G4:G8"/>
    <mergeCell ref="H4:H8"/>
    <mergeCell ref="I4:I8"/>
    <mergeCell ref="J4:J8"/>
    <mergeCell ref="K4:K8"/>
    <mergeCell ref="L4:L8"/>
    <mergeCell ref="M4:M8"/>
    <mergeCell ref="N4:N8"/>
    <mergeCell ref="O4:O8"/>
  </mergeCells>
  <pageMargins left="0.25" right="0.25" top="0.75" bottom="0.75" header="0.3" footer="0.3"/>
  <pageSetup paperSize="9" scale="62" orientation="landscape" r:id="rId1"/>
  <headerFooter>
    <oddHeader>&amp;L&amp;"Calibri"&amp;10&amp;K000000 INTERNÍ      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7AFB6"/>
    <pageSetUpPr fitToPage="1"/>
  </sheetPr>
  <dimension ref="A2:W55"/>
  <sheetViews>
    <sheetView showGridLines="0" zoomScaleNormal="100" workbookViewId="0">
      <selection activeCell="E24" sqref="E24"/>
    </sheetView>
  </sheetViews>
  <sheetFormatPr defaultRowHeight="15"/>
  <cols>
    <col min="1" max="1" width="2.140625" style="736" customWidth="1"/>
    <col min="2" max="2" width="29.5703125" style="736" customWidth="1"/>
    <col min="3" max="3" width="7.140625" style="736" customWidth="1"/>
    <col min="4" max="15" width="11.140625" style="736" customWidth="1"/>
    <col min="16" max="16" width="12.28515625" style="736" customWidth="1"/>
    <col min="17" max="17" width="11.42578125" style="736" customWidth="1"/>
    <col min="18" max="18" width="9.85546875" style="736" bestFit="1" customWidth="1"/>
    <col min="19" max="19" width="11.7109375" style="736" customWidth="1"/>
    <col min="20" max="258" width="9.140625" style="736"/>
    <col min="259" max="259" width="31.140625" style="736" customWidth="1"/>
    <col min="260" max="260" width="9.140625" style="736"/>
    <col min="261" max="261" width="11.28515625" style="736" customWidth="1"/>
    <col min="262" max="514" width="9.140625" style="736"/>
    <col min="515" max="515" width="31.140625" style="736" customWidth="1"/>
    <col min="516" max="516" width="9.140625" style="736"/>
    <col min="517" max="517" width="11.28515625" style="736" customWidth="1"/>
    <col min="518" max="770" width="9.140625" style="736"/>
    <col min="771" max="771" width="31.140625" style="736" customWidth="1"/>
    <col min="772" max="772" width="9.140625" style="736"/>
    <col min="773" max="773" width="11.28515625" style="736" customWidth="1"/>
    <col min="774" max="1026" width="9.140625" style="736"/>
    <col min="1027" max="1027" width="31.140625" style="736" customWidth="1"/>
    <col min="1028" max="1028" width="9.140625" style="736"/>
    <col min="1029" max="1029" width="11.28515625" style="736" customWidth="1"/>
    <col min="1030" max="1282" width="9.140625" style="736"/>
    <col min="1283" max="1283" width="31.140625" style="736" customWidth="1"/>
    <col min="1284" max="1284" width="9.140625" style="736"/>
    <col min="1285" max="1285" width="11.28515625" style="736" customWidth="1"/>
    <col min="1286" max="1538" width="9.140625" style="736"/>
    <col min="1539" max="1539" width="31.140625" style="736" customWidth="1"/>
    <col min="1540" max="1540" width="9.140625" style="736"/>
    <col min="1541" max="1541" width="11.28515625" style="736" customWidth="1"/>
    <col min="1542" max="1794" width="9.140625" style="736"/>
    <col min="1795" max="1795" width="31.140625" style="736" customWidth="1"/>
    <col min="1796" max="1796" width="9.140625" style="736"/>
    <col min="1797" max="1797" width="11.28515625" style="736" customWidth="1"/>
    <col min="1798" max="2050" width="9.140625" style="736"/>
    <col min="2051" max="2051" width="31.140625" style="736" customWidth="1"/>
    <col min="2052" max="2052" width="9.140625" style="736"/>
    <col min="2053" max="2053" width="11.28515625" style="736" customWidth="1"/>
    <col min="2054" max="2306" width="9.140625" style="736"/>
    <col min="2307" max="2307" width="31.140625" style="736" customWidth="1"/>
    <col min="2308" max="2308" width="9.140625" style="736"/>
    <col min="2309" max="2309" width="11.28515625" style="736" customWidth="1"/>
    <col min="2310" max="2562" width="9.140625" style="736"/>
    <col min="2563" max="2563" width="31.140625" style="736" customWidth="1"/>
    <col min="2564" max="2564" width="9.140625" style="736"/>
    <col min="2565" max="2565" width="11.28515625" style="736" customWidth="1"/>
    <col min="2566" max="2818" width="9.140625" style="736"/>
    <col min="2819" max="2819" width="31.140625" style="736" customWidth="1"/>
    <col min="2820" max="2820" width="9.140625" style="736"/>
    <col min="2821" max="2821" width="11.28515625" style="736" customWidth="1"/>
    <col min="2822" max="3074" width="9.140625" style="736"/>
    <col min="3075" max="3075" width="31.140625" style="736" customWidth="1"/>
    <col min="3076" max="3076" width="9.140625" style="736"/>
    <col min="3077" max="3077" width="11.28515625" style="736" customWidth="1"/>
    <col min="3078" max="3330" width="9.140625" style="736"/>
    <col min="3331" max="3331" width="31.140625" style="736" customWidth="1"/>
    <col min="3332" max="3332" width="9.140625" style="736"/>
    <col min="3333" max="3333" width="11.28515625" style="736" customWidth="1"/>
    <col min="3334" max="3586" width="9.140625" style="736"/>
    <col min="3587" max="3587" width="31.140625" style="736" customWidth="1"/>
    <col min="3588" max="3588" width="9.140625" style="736"/>
    <col min="3589" max="3589" width="11.28515625" style="736" customWidth="1"/>
    <col min="3590" max="3842" width="9.140625" style="736"/>
    <col min="3843" max="3843" width="31.140625" style="736" customWidth="1"/>
    <col min="3844" max="3844" width="9.140625" style="736"/>
    <col min="3845" max="3845" width="11.28515625" style="736" customWidth="1"/>
    <col min="3846" max="4098" width="9.140625" style="736"/>
    <col min="4099" max="4099" width="31.140625" style="736" customWidth="1"/>
    <col min="4100" max="4100" width="9.140625" style="736"/>
    <col min="4101" max="4101" width="11.28515625" style="736" customWidth="1"/>
    <col min="4102" max="4354" width="9.140625" style="736"/>
    <col min="4355" max="4355" width="31.140625" style="736" customWidth="1"/>
    <col min="4356" max="4356" width="9.140625" style="736"/>
    <col min="4357" max="4357" width="11.28515625" style="736" customWidth="1"/>
    <col min="4358" max="4610" width="9.140625" style="736"/>
    <col min="4611" max="4611" width="31.140625" style="736" customWidth="1"/>
    <col min="4612" max="4612" width="9.140625" style="736"/>
    <col min="4613" max="4613" width="11.28515625" style="736" customWidth="1"/>
    <col min="4614" max="4866" width="9.140625" style="736"/>
    <col min="4867" max="4867" width="31.140625" style="736" customWidth="1"/>
    <col min="4868" max="4868" width="9.140625" style="736"/>
    <col min="4869" max="4869" width="11.28515625" style="736" customWidth="1"/>
    <col min="4870" max="5122" width="9.140625" style="736"/>
    <col min="5123" max="5123" width="31.140625" style="736" customWidth="1"/>
    <col min="5124" max="5124" width="9.140625" style="736"/>
    <col min="5125" max="5125" width="11.28515625" style="736" customWidth="1"/>
    <col min="5126" max="5378" width="9.140625" style="736"/>
    <col min="5379" max="5379" width="31.140625" style="736" customWidth="1"/>
    <col min="5380" max="5380" width="9.140625" style="736"/>
    <col min="5381" max="5381" width="11.28515625" style="736" customWidth="1"/>
    <col min="5382" max="5634" width="9.140625" style="736"/>
    <col min="5635" max="5635" width="31.140625" style="736" customWidth="1"/>
    <col min="5636" max="5636" width="9.140625" style="736"/>
    <col min="5637" max="5637" width="11.28515625" style="736" customWidth="1"/>
    <col min="5638" max="5890" width="9.140625" style="736"/>
    <col min="5891" max="5891" width="31.140625" style="736" customWidth="1"/>
    <col min="5892" max="5892" width="9.140625" style="736"/>
    <col min="5893" max="5893" width="11.28515625" style="736" customWidth="1"/>
    <col min="5894" max="6146" width="9.140625" style="736"/>
    <col min="6147" max="6147" width="31.140625" style="736" customWidth="1"/>
    <col min="6148" max="6148" width="9.140625" style="736"/>
    <col min="6149" max="6149" width="11.28515625" style="736" customWidth="1"/>
    <col min="6150" max="6402" width="9.140625" style="736"/>
    <col min="6403" max="6403" width="31.140625" style="736" customWidth="1"/>
    <col min="6404" max="6404" width="9.140625" style="736"/>
    <col min="6405" max="6405" width="11.28515625" style="736" customWidth="1"/>
    <col min="6406" max="6658" width="9.140625" style="736"/>
    <col min="6659" max="6659" width="31.140625" style="736" customWidth="1"/>
    <col min="6660" max="6660" width="9.140625" style="736"/>
    <col min="6661" max="6661" width="11.28515625" style="736" customWidth="1"/>
    <col min="6662" max="6914" width="9.140625" style="736"/>
    <col min="6915" max="6915" width="31.140625" style="736" customWidth="1"/>
    <col min="6916" max="6916" width="9.140625" style="736"/>
    <col min="6917" max="6917" width="11.28515625" style="736" customWidth="1"/>
    <col min="6918" max="7170" width="9.140625" style="736"/>
    <col min="7171" max="7171" width="31.140625" style="736" customWidth="1"/>
    <col min="7172" max="7172" width="9.140625" style="736"/>
    <col min="7173" max="7173" width="11.28515625" style="736" customWidth="1"/>
    <col min="7174" max="7426" width="9.140625" style="736"/>
    <col min="7427" max="7427" width="31.140625" style="736" customWidth="1"/>
    <col min="7428" max="7428" width="9.140625" style="736"/>
    <col min="7429" max="7429" width="11.28515625" style="736" customWidth="1"/>
    <col min="7430" max="7682" width="9.140625" style="736"/>
    <col min="7683" max="7683" width="31.140625" style="736" customWidth="1"/>
    <col min="7684" max="7684" width="9.140625" style="736"/>
    <col min="7685" max="7685" width="11.28515625" style="736" customWidth="1"/>
    <col min="7686" max="7938" width="9.140625" style="736"/>
    <col min="7939" max="7939" width="31.140625" style="736" customWidth="1"/>
    <col min="7940" max="7940" width="9.140625" style="736"/>
    <col min="7941" max="7941" width="11.28515625" style="736" customWidth="1"/>
    <col min="7942" max="8194" width="9.140625" style="736"/>
    <col min="8195" max="8195" width="31.140625" style="736" customWidth="1"/>
    <col min="8196" max="8196" width="9.140625" style="736"/>
    <col min="8197" max="8197" width="11.28515625" style="736" customWidth="1"/>
    <col min="8198" max="8450" width="9.140625" style="736"/>
    <col min="8451" max="8451" width="31.140625" style="736" customWidth="1"/>
    <col min="8452" max="8452" width="9.140625" style="736"/>
    <col min="8453" max="8453" width="11.28515625" style="736" customWidth="1"/>
    <col min="8454" max="8706" width="9.140625" style="736"/>
    <col min="8707" max="8707" width="31.140625" style="736" customWidth="1"/>
    <col min="8708" max="8708" width="9.140625" style="736"/>
    <col min="8709" max="8709" width="11.28515625" style="736" customWidth="1"/>
    <col min="8710" max="8962" width="9.140625" style="736"/>
    <col min="8963" max="8963" width="31.140625" style="736" customWidth="1"/>
    <col min="8964" max="8964" width="9.140625" style="736"/>
    <col min="8965" max="8965" width="11.28515625" style="736" customWidth="1"/>
    <col min="8966" max="9218" width="9.140625" style="736"/>
    <col min="9219" max="9219" width="31.140625" style="736" customWidth="1"/>
    <col min="9220" max="9220" width="9.140625" style="736"/>
    <col min="9221" max="9221" width="11.28515625" style="736" customWidth="1"/>
    <col min="9222" max="9474" width="9.140625" style="736"/>
    <col min="9475" max="9475" width="31.140625" style="736" customWidth="1"/>
    <col min="9476" max="9476" width="9.140625" style="736"/>
    <col min="9477" max="9477" width="11.28515625" style="736" customWidth="1"/>
    <col min="9478" max="9730" width="9.140625" style="736"/>
    <col min="9731" max="9731" width="31.140625" style="736" customWidth="1"/>
    <col min="9732" max="9732" width="9.140625" style="736"/>
    <col min="9733" max="9733" width="11.28515625" style="736" customWidth="1"/>
    <col min="9734" max="9986" width="9.140625" style="736"/>
    <col min="9987" max="9987" width="31.140625" style="736" customWidth="1"/>
    <col min="9988" max="9988" width="9.140625" style="736"/>
    <col min="9989" max="9989" width="11.28515625" style="736" customWidth="1"/>
    <col min="9990" max="10242" width="9.140625" style="736"/>
    <col min="10243" max="10243" width="31.140625" style="736" customWidth="1"/>
    <col min="10244" max="10244" width="9.140625" style="736"/>
    <col min="10245" max="10245" width="11.28515625" style="736" customWidth="1"/>
    <col min="10246" max="10498" width="9.140625" style="736"/>
    <col min="10499" max="10499" width="31.140625" style="736" customWidth="1"/>
    <col min="10500" max="10500" width="9.140625" style="736"/>
    <col min="10501" max="10501" width="11.28515625" style="736" customWidth="1"/>
    <col min="10502" max="10754" width="9.140625" style="736"/>
    <col min="10755" max="10755" width="31.140625" style="736" customWidth="1"/>
    <col min="10756" max="10756" width="9.140625" style="736"/>
    <col min="10757" max="10757" width="11.28515625" style="736" customWidth="1"/>
    <col min="10758" max="11010" width="9.140625" style="736"/>
    <col min="11011" max="11011" width="31.140625" style="736" customWidth="1"/>
    <col min="11012" max="11012" width="9.140625" style="736"/>
    <col min="11013" max="11013" width="11.28515625" style="736" customWidth="1"/>
    <col min="11014" max="11266" width="9.140625" style="736"/>
    <col min="11267" max="11267" width="31.140625" style="736" customWidth="1"/>
    <col min="11268" max="11268" width="9.140625" style="736"/>
    <col min="11269" max="11269" width="11.28515625" style="736" customWidth="1"/>
    <col min="11270" max="11522" width="9.140625" style="736"/>
    <col min="11523" max="11523" width="31.140625" style="736" customWidth="1"/>
    <col min="11524" max="11524" width="9.140625" style="736"/>
    <col min="11525" max="11525" width="11.28515625" style="736" customWidth="1"/>
    <col min="11526" max="11778" width="9.140625" style="736"/>
    <col min="11779" max="11779" width="31.140625" style="736" customWidth="1"/>
    <col min="11780" max="11780" width="9.140625" style="736"/>
    <col min="11781" max="11781" width="11.28515625" style="736" customWidth="1"/>
    <col min="11782" max="12034" width="9.140625" style="736"/>
    <col min="12035" max="12035" width="31.140625" style="736" customWidth="1"/>
    <col min="12036" max="12036" width="9.140625" style="736"/>
    <col min="12037" max="12037" width="11.28515625" style="736" customWidth="1"/>
    <col min="12038" max="12290" width="9.140625" style="736"/>
    <col min="12291" max="12291" width="31.140625" style="736" customWidth="1"/>
    <col min="12292" max="12292" width="9.140625" style="736"/>
    <col min="12293" max="12293" width="11.28515625" style="736" customWidth="1"/>
    <col min="12294" max="12546" width="9.140625" style="736"/>
    <col min="12547" max="12547" width="31.140625" style="736" customWidth="1"/>
    <col min="12548" max="12548" width="9.140625" style="736"/>
    <col min="12549" max="12549" width="11.28515625" style="736" customWidth="1"/>
    <col min="12550" max="12802" width="9.140625" style="736"/>
    <col min="12803" max="12803" width="31.140625" style="736" customWidth="1"/>
    <col min="12804" max="12804" width="9.140625" style="736"/>
    <col min="12805" max="12805" width="11.28515625" style="736" customWidth="1"/>
    <col min="12806" max="13058" width="9.140625" style="736"/>
    <col min="13059" max="13059" width="31.140625" style="736" customWidth="1"/>
    <col min="13060" max="13060" width="9.140625" style="736"/>
    <col min="13061" max="13061" width="11.28515625" style="736" customWidth="1"/>
    <col min="13062" max="13314" width="9.140625" style="736"/>
    <col min="13315" max="13315" width="31.140625" style="736" customWidth="1"/>
    <col min="13316" max="13316" width="9.140625" style="736"/>
    <col min="13317" max="13317" width="11.28515625" style="736" customWidth="1"/>
    <col min="13318" max="13570" width="9.140625" style="736"/>
    <col min="13571" max="13571" width="31.140625" style="736" customWidth="1"/>
    <col min="13572" max="13572" width="9.140625" style="736"/>
    <col min="13573" max="13573" width="11.28515625" style="736" customWidth="1"/>
    <col min="13574" max="13826" width="9.140625" style="736"/>
    <col min="13827" max="13827" width="31.140625" style="736" customWidth="1"/>
    <col min="13828" max="13828" width="9.140625" style="736"/>
    <col min="13829" max="13829" width="11.28515625" style="736" customWidth="1"/>
    <col min="13830" max="14082" width="9.140625" style="736"/>
    <col min="14083" max="14083" width="31.140625" style="736" customWidth="1"/>
    <col min="14084" max="14084" width="9.140625" style="736"/>
    <col min="14085" max="14085" width="11.28515625" style="736" customWidth="1"/>
    <col min="14086" max="14338" width="9.140625" style="736"/>
    <col min="14339" max="14339" width="31.140625" style="736" customWidth="1"/>
    <col min="14340" max="14340" width="9.140625" style="736"/>
    <col min="14341" max="14341" width="11.28515625" style="736" customWidth="1"/>
    <col min="14342" max="14594" width="9.140625" style="736"/>
    <col min="14595" max="14595" width="31.140625" style="736" customWidth="1"/>
    <col min="14596" max="14596" width="9.140625" style="736"/>
    <col min="14597" max="14597" width="11.28515625" style="736" customWidth="1"/>
    <col min="14598" max="14850" width="9.140625" style="736"/>
    <col min="14851" max="14851" width="31.140625" style="736" customWidth="1"/>
    <col min="14852" max="14852" width="9.140625" style="736"/>
    <col min="14853" max="14853" width="11.28515625" style="736" customWidth="1"/>
    <col min="14854" max="15106" width="9.140625" style="736"/>
    <col min="15107" max="15107" width="31.140625" style="736" customWidth="1"/>
    <col min="15108" max="15108" width="9.140625" style="736"/>
    <col min="15109" max="15109" width="11.28515625" style="736" customWidth="1"/>
    <col min="15110" max="15362" width="9.140625" style="736"/>
    <col min="15363" max="15363" width="31.140625" style="736" customWidth="1"/>
    <col min="15364" max="15364" width="9.140625" style="736"/>
    <col min="15365" max="15365" width="11.28515625" style="736" customWidth="1"/>
    <col min="15366" max="15618" width="9.140625" style="736"/>
    <col min="15619" max="15619" width="31.140625" style="736" customWidth="1"/>
    <col min="15620" max="15620" width="9.140625" style="736"/>
    <col min="15621" max="15621" width="11.28515625" style="736" customWidth="1"/>
    <col min="15622" max="15874" width="9.140625" style="736"/>
    <col min="15875" max="15875" width="31.140625" style="736" customWidth="1"/>
    <col min="15876" max="15876" width="9.140625" style="736"/>
    <col min="15877" max="15877" width="11.28515625" style="736" customWidth="1"/>
    <col min="15878" max="16130" width="9.140625" style="736"/>
    <col min="16131" max="16131" width="31.140625" style="736" customWidth="1"/>
    <col min="16132" max="16132" width="9.140625" style="736"/>
    <col min="16133" max="16133" width="11.28515625" style="736" customWidth="1"/>
    <col min="16134" max="16384" width="9.140625" style="736"/>
  </cols>
  <sheetData>
    <row r="2" spans="2:17">
      <c r="B2" s="733" t="s">
        <v>207</v>
      </c>
      <c r="C2" s="734">
        <v>10</v>
      </c>
      <c r="D2" s="1206" t="s">
        <v>208</v>
      </c>
      <c r="E2" s="735"/>
      <c r="F2" s="1207" t="s">
        <v>209</v>
      </c>
      <c r="G2" s="1207"/>
      <c r="H2" s="1207"/>
      <c r="I2" s="1207"/>
      <c r="J2" s="1207"/>
      <c r="K2" s="1207"/>
      <c r="L2" s="1207"/>
      <c r="M2" s="1207"/>
      <c r="N2" s="1207"/>
      <c r="O2" s="1207"/>
      <c r="P2" s="1208" t="s">
        <v>210</v>
      </c>
    </row>
    <row r="3" spans="2:17" ht="15" customHeight="1" thickBot="1">
      <c r="B3" s="737"/>
      <c r="C3" s="738" t="s">
        <v>211</v>
      </c>
      <c r="D3" s="1206"/>
      <c r="E3" s="739"/>
      <c r="F3" s="740">
        <v>1</v>
      </c>
      <c r="G3" s="741">
        <v>2</v>
      </c>
      <c r="H3" s="740">
        <v>3</v>
      </c>
      <c r="I3" s="741">
        <v>4</v>
      </c>
      <c r="J3" s="740">
        <v>5</v>
      </c>
      <c r="K3" s="741">
        <v>6</v>
      </c>
      <c r="L3" s="740">
        <v>7</v>
      </c>
      <c r="M3" s="741">
        <v>8</v>
      </c>
      <c r="N3" s="741">
        <v>9</v>
      </c>
      <c r="O3" s="741">
        <v>10</v>
      </c>
      <c r="P3" s="1208"/>
    </row>
    <row r="4" spans="2:17" ht="16.5" thickBot="1">
      <c r="B4" s="1203" t="s">
        <v>212</v>
      </c>
      <c r="C4" s="1204"/>
      <c r="D4" s="1204"/>
      <c r="E4" s="1204"/>
      <c r="F4" s="1204"/>
      <c r="G4" s="1204"/>
      <c r="H4" s="1204"/>
      <c r="I4" s="1204"/>
      <c r="J4" s="1204"/>
      <c r="K4" s="1204"/>
      <c r="L4" s="1204"/>
      <c r="M4" s="1204"/>
      <c r="N4" s="1204"/>
      <c r="O4" s="1205"/>
    </row>
    <row r="5" spans="2:17">
      <c r="B5" s="742" t="s">
        <v>213</v>
      </c>
      <c r="C5" s="743">
        <v>1</v>
      </c>
      <c r="D5" s="744">
        <f>'REFERENČNÍ ÚDAJE'!E30</f>
        <v>28231.816400000003</v>
      </c>
      <c r="E5" s="745">
        <f>D5</f>
        <v>28231.816400000003</v>
      </c>
      <c r="F5" s="745">
        <f t="shared" ref="F5:O13" si="0">$D5</f>
        <v>28231.816400000003</v>
      </c>
      <c r="G5" s="745">
        <f t="shared" si="0"/>
        <v>28231.816400000003</v>
      </c>
      <c r="H5" s="745">
        <f t="shared" si="0"/>
        <v>28231.816400000003</v>
      </c>
      <c r="I5" s="745">
        <f t="shared" si="0"/>
        <v>28231.816400000003</v>
      </c>
      <c r="J5" s="745">
        <f t="shared" si="0"/>
        <v>28231.816400000003</v>
      </c>
      <c r="K5" s="745">
        <f t="shared" si="0"/>
        <v>28231.816400000003</v>
      </c>
      <c r="L5" s="745">
        <f t="shared" si="0"/>
        <v>28231.816400000003</v>
      </c>
      <c r="M5" s="745">
        <f t="shared" si="0"/>
        <v>28231.816400000003</v>
      </c>
      <c r="N5" s="745">
        <f t="shared" si="0"/>
        <v>28231.816400000003</v>
      </c>
      <c r="O5" s="746">
        <f t="shared" si="0"/>
        <v>28231.816400000003</v>
      </c>
      <c r="P5" s="663">
        <f t="shared" ref="P5:P14" si="1">SUM(F5:O5)</f>
        <v>282318.16400000005</v>
      </c>
    </row>
    <row r="6" spans="2:17">
      <c r="B6" s="747" t="s">
        <v>214</v>
      </c>
      <c r="C6" s="748">
        <v>2</v>
      </c>
      <c r="D6" s="744">
        <f>'REFERENČNÍ ÚDAJE'!I30</f>
        <v>3557.6408799999999</v>
      </c>
      <c r="E6" s="745">
        <f>D6</f>
        <v>3557.6408799999999</v>
      </c>
      <c r="F6" s="745">
        <f t="shared" si="0"/>
        <v>3557.6408799999999</v>
      </c>
      <c r="G6" s="745">
        <f t="shared" si="0"/>
        <v>3557.6408799999999</v>
      </c>
      <c r="H6" s="745">
        <f t="shared" si="0"/>
        <v>3557.6408799999999</v>
      </c>
      <c r="I6" s="745">
        <f t="shared" si="0"/>
        <v>3557.6408799999999</v>
      </c>
      <c r="J6" s="745">
        <f t="shared" si="0"/>
        <v>3557.6408799999999</v>
      </c>
      <c r="K6" s="745">
        <f t="shared" si="0"/>
        <v>3557.6408799999999</v>
      </c>
      <c r="L6" s="745">
        <f t="shared" si="0"/>
        <v>3557.6408799999999</v>
      </c>
      <c r="M6" s="745">
        <f t="shared" si="0"/>
        <v>3557.6408799999999</v>
      </c>
      <c r="N6" s="745">
        <f t="shared" si="0"/>
        <v>3557.6408799999999</v>
      </c>
      <c r="O6" s="746">
        <f t="shared" si="0"/>
        <v>3557.6408799999999</v>
      </c>
      <c r="P6" s="663">
        <f t="shared" ref="P6" si="2">SUM(F6:O6)</f>
        <v>35576.408799999997</v>
      </c>
    </row>
    <row r="7" spans="2:17">
      <c r="B7" s="747" t="s">
        <v>309</v>
      </c>
      <c r="C7" s="748">
        <v>3</v>
      </c>
      <c r="D7" s="744">
        <f>'REFERENČNÍ ÚDAJE'!M30</f>
        <v>21515.109499999999</v>
      </c>
      <c r="E7" s="749">
        <f t="shared" ref="E7:E13" si="3">D7</f>
        <v>21515.109499999999</v>
      </c>
      <c r="F7" s="749">
        <f t="shared" si="0"/>
        <v>21515.109499999999</v>
      </c>
      <c r="G7" s="749">
        <f t="shared" si="0"/>
        <v>21515.109499999999</v>
      </c>
      <c r="H7" s="749">
        <f t="shared" si="0"/>
        <v>21515.109499999999</v>
      </c>
      <c r="I7" s="749">
        <f t="shared" si="0"/>
        <v>21515.109499999999</v>
      </c>
      <c r="J7" s="749">
        <f t="shared" si="0"/>
        <v>21515.109499999999</v>
      </c>
      <c r="K7" s="749">
        <f t="shared" si="0"/>
        <v>21515.109499999999</v>
      </c>
      <c r="L7" s="749">
        <f t="shared" si="0"/>
        <v>21515.109499999999</v>
      </c>
      <c r="M7" s="749">
        <f t="shared" si="0"/>
        <v>21515.109499999999</v>
      </c>
      <c r="N7" s="749">
        <f t="shared" si="0"/>
        <v>21515.109499999999</v>
      </c>
      <c r="O7" s="750">
        <f t="shared" si="0"/>
        <v>21515.109499999999</v>
      </c>
      <c r="P7" s="663">
        <f t="shared" si="1"/>
        <v>215151.09499999994</v>
      </c>
    </row>
    <row r="8" spans="2:17" ht="16.5" thickBot="1">
      <c r="B8" s="751" t="s">
        <v>310</v>
      </c>
      <c r="C8" s="752">
        <v>4</v>
      </c>
      <c r="D8" s="753">
        <f>'REFERENČNÍ ÚDAJE'!Q30</f>
        <v>469250</v>
      </c>
      <c r="E8" s="754">
        <f t="shared" si="3"/>
        <v>469250</v>
      </c>
      <c r="F8" s="754">
        <f t="shared" si="0"/>
        <v>469250</v>
      </c>
      <c r="G8" s="754">
        <f t="shared" si="0"/>
        <v>469250</v>
      </c>
      <c r="H8" s="754">
        <f t="shared" si="0"/>
        <v>469250</v>
      </c>
      <c r="I8" s="754">
        <f t="shared" si="0"/>
        <v>469250</v>
      </c>
      <c r="J8" s="754">
        <f t="shared" si="0"/>
        <v>469250</v>
      </c>
      <c r="K8" s="754">
        <f t="shared" si="0"/>
        <v>469250</v>
      </c>
      <c r="L8" s="754">
        <f t="shared" si="0"/>
        <v>469250</v>
      </c>
      <c r="M8" s="754">
        <f t="shared" si="0"/>
        <v>469250</v>
      </c>
      <c r="N8" s="754">
        <f t="shared" si="0"/>
        <v>469250</v>
      </c>
      <c r="O8" s="755">
        <f t="shared" si="0"/>
        <v>469250</v>
      </c>
      <c r="P8" s="663">
        <f t="shared" si="1"/>
        <v>4692500</v>
      </c>
    </row>
    <row r="9" spans="2:17">
      <c r="B9" s="756" t="s">
        <v>215</v>
      </c>
      <c r="C9" s="748">
        <v>5</v>
      </c>
      <c r="D9" s="744">
        <f>'REFERENČNÍ ÚDAJE'!G30</f>
        <v>34823795.644000001</v>
      </c>
      <c r="E9" s="745">
        <f>D9</f>
        <v>34823795.644000001</v>
      </c>
      <c r="F9" s="745">
        <f t="shared" si="0"/>
        <v>34823795.644000001</v>
      </c>
      <c r="G9" s="745">
        <f t="shared" si="0"/>
        <v>34823795.644000001</v>
      </c>
      <c r="H9" s="745">
        <f t="shared" si="0"/>
        <v>34823795.644000001</v>
      </c>
      <c r="I9" s="745">
        <f t="shared" si="0"/>
        <v>34823795.644000001</v>
      </c>
      <c r="J9" s="745">
        <f t="shared" si="0"/>
        <v>34823795.644000001</v>
      </c>
      <c r="K9" s="745">
        <f t="shared" si="0"/>
        <v>34823795.644000001</v>
      </c>
      <c r="L9" s="745">
        <f t="shared" si="0"/>
        <v>34823795.644000001</v>
      </c>
      <c r="M9" s="745">
        <f t="shared" si="0"/>
        <v>34823795.644000001</v>
      </c>
      <c r="N9" s="745">
        <f t="shared" si="0"/>
        <v>34823795.644000001</v>
      </c>
      <c r="O9" s="746">
        <f t="shared" si="0"/>
        <v>34823795.644000001</v>
      </c>
      <c r="P9" s="663">
        <f t="shared" si="1"/>
        <v>348237956.44</v>
      </c>
    </row>
    <row r="10" spans="2:17">
      <c r="B10" s="756" t="s">
        <v>216</v>
      </c>
      <c r="C10" s="748">
        <v>6</v>
      </c>
      <c r="D10" s="744">
        <f>'REFERENČNÍ ÚDAJE'!K30</f>
        <v>18963244.25</v>
      </c>
      <c r="E10" s="749">
        <f t="shared" ref="E10:E11" si="4">D10</f>
        <v>18963244.25</v>
      </c>
      <c r="F10" s="749">
        <f t="shared" si="0"/>
        <v>18963244.25</v>
      </c>
      <c r="G10" s="749">
        <f t="shared" si="0"/>
        <v>18963244.25</v>
      </c>
      <c r="H10" s="749">
        <f t="shared" si="0"/>
        <v>18963244.25</v>
      </c>
      <c r="I10" s="749">
        <f t="shared" si="0"/>
        <v>18963244.25</v>
      </c>
      <c r="J10" s="749">
        <f t="shared" si="0"/>
        <v>18963244.25</v>
      </c>
      <c r="K10" s="749">
        <f t="shared" si="0"/>
        <v>18963244.25</v>
      </c>
      <c r="L10" s="749">
        <f t="shared" si="0"/>
        <v>18963244.25</v>
      </c>
      <c r="M10" s="749">
        <f t="shared" si="0"/>
        <v>18963244.25</v>
      </c>
      <c r="N10" s="749">
        <f t="shared" si="0"/>
        <v>18963244.25</v>
      </c>
      <c r="O10" s="750">
        <f t="shared" si="0"/>
        <v>18963244.25</v>
      </c>
      <c r="P10" s="663">
        <f t="shared" si="1"/>
        <v>189632442.5</v>
      </c>
    </row>
    <row r="11" spans="2:17">
      <c r="B11" s="756" t="s">
        <v>217</v>
      </c>
      <c r="C11" s="748">
        <v>7</v>
      </c>
      <c r="D11" s="744">
        <f>'REFERENČNÍ ÚDAJE'!O30</f>
        <v>2581813.14</v>
      </c>
      <c r="E11" s="749">
        <f t="shared" si="4"/>
        <v>2581813.14</v>
      </c>
      <c r="F11" s="749">
        <f t="shared" si="0"/>
        <v>2581813.14</v>
      </c>
      <c r="G11" s="749">
        <f t="shared" si="0"/>
        <v>2581813.14</v>
      </c>
      <c r="H11" s="749">
        <f t="shared" si="0"/>
        <v>2581813.14</v>
      </c>
      <c r="I11" s="749">
        <f t="shared" si="0"/>
        <v>2581813.14</v>
      </c>
      <c r="J11" s="749">
        <f t="shared" si="0"/>
        <v>2581813.14</v>
      </c>
      <c r="K11" s="749">
        <f t="shared" si="0"/>
        <v>2581813.14</v>
      </c>
      <c r="L11" s="749">
        <f t="shared" si="0"/>
        <v>2581813.14</v>
      </c>
      <c r="M11" s="749">
        <f t="shared" si="0"/>
        <v>2581813.14</v>
      </c>
      <c r="N11" s="749">
        <f t="shared" si="0"/>
        <v>2581813.14</v>
      </c>
      <c r="O11" s="750">
        <f t="shared" si="0"/>
        <v>2581813.14</v>
      </c>
      <c r="P11" s="663">
        <f t="shared" ref="P11" si="5">SUM(F11:O11)</f>
        <v>25818131.400000002</v>
      </c>
    </row>
    <row r="12" spans="2:17">
      <c r="B12" s="756" t="s">
        <v>311</v>
      </c>
      <c r="C12" s="748">
        <v>8</v>
      </c>
      <c r="D12" s="757">
        <f>'REFERENČNÍ ÚDAJE'!S30</f>
        <v>1877000</v>
      </c>
      <c r="E12" s="749">
        <f t="shared" si="3"/>
        <v>1877000</v>
      </c>
      <c r="F12" s="749">
        <f t="shared" si="0"/>
        <v>1877000</v>
      </c>
      <c r="G12" s="749">
        <f t="shared" si="0"/>
        <v>1877000</v>
      </c>
      <c r="H12" s="749">
        <f t="shared" si="0"/>
        <v>1877000</v>
      </c>
      <c r="I12" s="749">
        <f t="shared" si="0"/>
        <v>1877000</v>
      </c>
      <c r="J12" s="749">
        <f t="shared" si="0"/>
        <v>1877000</v>
      </c>
      <c r="K12" s="749">
        <f t="shared" si="0"/>
        <v>1877000</v>
      </c>
      <c r="L12" s="749">
        <f t="shared" si="0"/>
        <v>1877000</v>
      </c>
      <c r="M12" s="749">
        <f t="shared" si="0"/>
        <v>1877000</v>
      </c>
      <c r="N12" s="749">
        <f t="shared" si="0"/>
        <v>1877000</v>
      </c>
      <c r="O12" s="750">
        <f t="shared" si="0"/>
        <v>1877000</v>
      </c>
      <c r="P12" s="663">
        <f t="shared" si="1"/>
        <v>18770000</v>
      </c>
    </row>
    <row r="13" spans="2:17" ht="15.75" thickBot="1">
      <c r="B13" s="758" t="s">
        <v>218</v>
      </c>
      <c r="C13" s="752">
        <v>9</v>
      </c>
      <c r="D13" s="753">
        <f>'REFERENČNÍ ÚDAJE'!V30</f>
        <v>0</v>
      </c>
      <c r="E13" s="754">
        <f t="shared" si="3"/>
        <v>0</v>
      </c>
      <c r="F13" s="754">
        <f t="shared" si="0"/>
        <v>0</v>
      </c>
      <c r="G13" s="754">
        <f t="shared" si="0"/>
        <v>0</v>
      </c>
      <c r="H13" s="754">
        <f t="shared" si="0"/>
        <v>0</v>
      </c>
      <c r="I13" s="754">
        <f t="shared" si="0"/>
        <v>0</v>
      </c>
      <c r="J13" s="754">
        <f t="shared" si="0"/>
        <v>0</v>
      </c>
      <c r="K13" s="754">
        <f t="shared" si="0"/>
        <v>0</v>
      </c>
      <c r="L13" s="754">
        <f t="shared" si="0"/>
        <v>0</v>
      </c>
      <c r="M13" s="754">
        <f t="shared" si="0"/>
        <v>0</v>
      </c>
      <c r="N13" s="754">
        <f t="shared" si="0"/>
        <v>0</v>
      </c>
      <c r="O13" s="755">
        <f t="shared" si="0"/>
        <v>0</v>
      </c>
      <c r="P13" s="663">
        <f t="shared" si="1"/>
        <v>0</v>
      </c>
    </row>
    <row r="14" spans="2:17" ht="15.75" thickBot="1">
      <c r="B14" s="759" t="s">
        <v>312</v>
      </c>
      <c r="C14" s="760" t="s">
        <v>219</v>
      </c>
      <c r="D14" s="761">
        <f t="shared" ref="D14:O14" si="6">SUM(D9:D13)</f>
        <v>58245853.034000002</v>
      </c>
      <c r="E14" s="762">
        <f t="shared" si="6"/>
        <v>58245853.034000002</v>
      </c>
      <c r="F14" s="761">
        <f t="shared" si="6"/>
        <v>58245853.034000002</v>
      </c>
      <c r="G14" s="761">
        <f t="shared" si="6"/>
        <v>58245853.034000002</v>
      </c>
      <c r="H14" s="761">
        <f t="shared" si="6"/>
        <v>58245853.034000002</v>
      </c>
      <c r="I14" s="761">
        <f t="shared" si="6"/>
        <v>58245853.034000002</v>
      </c>
      <c r="J14" s="761">
        <f t="shared" si="6"/>
        <v>58245853.034000002</v>
      </c>
      <c r="K14" s="761">
        <f t="shared" si="6"/>
        <v>58245853.034000002</v>
      </c>
      <c r="L14" s="761">
        <f t="shared" si="6"/>
        <v>58245853.034000002</v>
      </c>
      <c r="M14" s="761">
        <f t="shared" si="6"/>
        <v>58245853.034000002</v>
      </c>
      <c r="N14" s="761">
        <f t="shared" si="6"/>
        <v>58245853.034000002</v>
      </c>
      <c r="O14" s="763">
        <f t="shared" si="6"/>
        <v>58245853.034000002</v>
      </c>
      <c r="P14" s="663">
        <f t="shared" si="1"/>
        <v>582458530.33999991</v>
      </c>
    </row>
    <row r="15" spans="2:17" ht="15.75" thickBot="1"/>
    <row r="16" spans="2:17" ht="15.75" thickBot="1">
      <c r="B16" s="1203" t="s">
        <v>220</v>
      </c>
      <c r="C16" s="1204"/>
      <c r="D16" s="1204"/>
      <c r="E16" s="1204"/>
      <c r="F16" s="1204"/>
      <c r="G16" s="1204"/>
      <c r="H16" s="1204"/>
      <c r="I16" s="1204"/>
      <c r="J16" s="1204"/>
      <c r="K16" s="1204"/>
      <c r="L16" s="1204"/>
      <c r="M16" s="1204"/>
      <c r="N16" s="1204"/>
      <c r="O16" s="1205"/>
      <c r="P16" s="708" t="s">
        <v>221</v>
      </c>
      <c r="Q16" s="708" t="s">
        <v>200</v>
      </c>
    </row>
    <row r="17" spans="1:19">
      <c r="B17" s="764" t="str">
        <f t="shared" ref="B17:B25" si="7">B5</f>
        <v>Teplo [GJ]</v>
      </c>
      <c r="C17" s="743">
        <f>C13+1</f>
        <v>10</v>
      </c>
      <c r="D17" s="765" t="s">
        <v>182</v>
      </c>
      <c r="E17" s="766">
        <f t="shared" ref="E17:E25" si="8">E5</f>
        <v>28231.816400000003</v>
      </c>
      <c r="F17" s="767"/>
      <c r="G17" s="767"/>
      <c r="H17" s="767"/>
      <c r="I17" s="767"/>
      <c r="J17" s="767"/>
      <c r="K17" s="767"/>
      <c r="L17" s="767"/>
      <c r="M17" s="768"/>
      <c r="N17" s="768"/>
      <c r="O17" s="769"/>
      <c r="P17" s="663">
        <f t="shared" ref="P17:P26" si="9">SUM(F17:O17)</f>
        <v>0</v>
      </c>
      <c r="Q17" s="663">
        <f>P5-P17</f>
        <v>282318.16400000005</v>
      </c>
      <c r="R17" s="637" t="s">
        <v>122</v>
      </c>
      <c r="S17" s="770">
        <f>Q17/P5</f>
        <v>1</v>
      </c>
    </row>
    <row r="18" spans="1:19">
      <c r="B18" s="764" t="str">
        <f t="shared" si="7"/>
        <v>Elektřina [MWh]</v>
      </c>
      <c r="C18" s="743">
        <v>11</v>
      </c>
      <c r="D18" s="765" t="s">
        <v>182</v>
      </c>
      <c r="E18" s="766">
        <f t="shared" si="8"/>
        <v>3557.6408799999999</v>
      </c>
      <c r="F18" s="772"/>
      <c r="G18" s="772"/>
      <c r="H18" s="772"/>
      <c r="I18" s="772"/>
      <c r="J18" s="772"/>
      <c r="K18" s="772"/>
      <c r="L18" s="772"/>
      <c r="M18" s="773"/>
      <c r="N18" s="773"/>
      <c r="O18" s="774"/>
      <c r="P18" s="663">
        <f t="shared" si="9"/>
        <v>0</v>
      </c>
      <c r="Q18" s="663" t="e">
        <f>#REF!-P18</f>
        <v>#REF!</v>
      </c>
      <c r="R18" s="637" t="s">
        <v>100</v>
      </c>
      <c r="S18" s="770" t="e">
        <f>Q18/#REF!</f>
        <v>#REF!</v>
      </c>
    </row>
    <row r="19" spans="1:19">
      <c r="B19" s="756" t="str">
        <f t="shared" si="7"/>
        <v>Voda [m3]</v>
      </c>
      <c r="C19" s="743">
        <v>12</v>
      </c>
      <c r="D19" s="765" t="s">
        <v>182</v>
      </c>
      <c r="E19" s="771">
        <f t="shared" si="8"/>
        <v>21515.109499999999</v>
      </c>
      <c r="F19" s="772"/>
      <c r="G19" s="772"/>
      <c r="H19" s="772"/>
      <c r="I19" s="772"/>
      <c r="J19" s="772"/>
      <c r="K19" s="772"/>
      <c r="L19" s="772"/>
      <c r="M19" s="773"/>
      <c r="N19" s="773"/>
      <c r="O19" s="774"/>
      <c r="P19" s="663">
        <f t="shared" si="9"/>
        <v>0</v>
      </c>
      <c r="Q19" s="663">
        <f t="shared" ref="Q19:Q26" si="10">P7-P19</f>
        <v>215151.09499999994</v>
      </c>
      <c r="R19" s="637" t="s">
        <v>100</v>
      </c>
      <c r="S19" s="770">
        <f t="shared" ref="S19:S24" si="11">Q19/P7</f>
        <v>1</v>
      </c>
    </row>
    <row r="20" spans="1:19" ht="15.75" thickBot="1">
      <c r="B20" s="775" t="str">
        <f t="shared" si="7"/>
        <v>Voda z vrtu [m3]</v>
      </c>
      <c r="C20" s="776">
        <v>13</v>
      </c>
      <c r="D20" s="777" t="s">
        <v>182</v>
      </c>
      <c r="E20" s="778">
        <f t="shared" si="8"/>
        <v>469250</v>
      </c>
      <c r="F20" s="779"/>
      <c r="G20" s="779"/>
      <c r="H20" s="779"/>
      <c r="I20" s="779"/>
      <c r="J20" s="779"/>
      <c r="K20" s="779"/>
      <c r="L20" s="779"/>
      <c r="M20" s="780"/>
      <c r="N20" s="780"/>
      <c r="O20" s="781"/>
      <c r="P20" s="663">
        <f t="shared" si="9"/>
        <v>0</v>
      </c>
      <c r="Q20" s="663">
        <f t="shared" si="10"/>
        <v>4692500</v>
      </c>
      <c r="R20" s="637" t="s">
        <v>6</v>
      </c>
      <c r="S20" s="770">
        <f t="shared" si="11"/>
        <v>1</v>
      </c>
    </row>
    <row r="21" spans="1:19">
      <c r="B21" s="756" t="str">
        <f t="shared" si="7"/>
        <v>Teplo [Kč vč. DPH]</v>
      </c>
      <c r="C21" s="743">
        <f>C20+1</f>
        <v>14</v>
      </c>
      <c r="D21" s="782" t="s">
        <v>182</v>
      </c>
      <c r="E21" s="766">
        <f t="shared" si="8"/>
        <v>34823795.644000001</v>
      </c>
      <c r="F21" s="767"/>
      <c r="G21" s="767"/>
      <c r="H21" s="767"/>
      <c r="I21" s="767"/>
      <c r="J21" s="767"/>
      <c r="K21" s="767"/>
      <c r="L21" s="767"/>
      <c r="M21" s="767"/>
      <c r="N21" s="767"/>
      <c r="O21" s="769"/>
      <c r="P21" s="663">
        <f t="shared" si="9"/>
        <v>0</v>
      </c>
      <c r="Q21" s="663">
        <f t="shared" si="10"/>
        <v>348237956.44</v>
      </c>
      <c r="R21" s="637" t="s">
        <v>145</v>
      </c>
      <c r="S21" s="770">
        <f t="shared" si="11"/>
        <v>1</v>
      </c>
    </row>
    <row r="22" spans="1:19">
      <c r="B22" s="756" t="str">
        <f t="shared" si="7"/>
        <v>Elektřina [Kč vč. DPH]</v>
      </c>
      <c r="C22" s="743">
        <v>15</v>
      </c>
      <c r="D22" s="765" t="s">
        <v>182</v>
      </c>
      <c r="E22" s="771">
        <f t="shared" si="8"/>
        <v>18963244.25</v>
      </c>
      <c r="F22" s="772"/>
      <c r="G22" s="772"/>
      <c r="H22" s="772"/>
      <c r="I22" s="772"/>
      <c r="J22" s="772"/>
      <c r="K22" s="772"/>
      <c r="L22" s="772"/>
      <c r="M22" s="772"/>
      <c r="N22" s="772"/>
      <c r="O22" s="774"/>
      <c r="P22" s="663">
        <f t="shared" si="9"/>
        <v>0</v>
      </c>
      <c r="Q22" s="663">
        <f t="shared" si="10"/>
        <v>189632442.5</v>
      </c>
      <c r="R22" s="637" t="s">
        <v>145</v>
      </c>
      <c r="S22" s="770">
        <f t="shared" si="11"/>
        <v>1</v>
      </c>
    </row>
    <row r="23" spans="1:19">
      <c r="B23" s="756" t="str">
        <f t="shared" si="7"/>
        <v>Voda [Kč vč. DPH]</v>
      </c>
      <c r="C23" s="743">
        <v>16</v>
      </c>
      <c r="D23" s="765" t="s">
        <v>182</v>
      </c>
      <c r="E23" s="771">
        <f t="shared" si="8"/>
        <v>2581813.14</v>
      </c>
      <c r="F23" s="772"/>
      <c r="G23" s="772"/>
      <c r="H23" s="772"/>
      <c r="I23" s="772"/>
      <c r="J23" s="772"/>
      <c r="K23" s="772"/>
      <c r="L23" s="772"/>
      <c r="M23" s="772"/>
      <c r="N23" s="772"/>
      <c r="O23" s="774"/>
      <c r="P23" s="663">
        <f t="shared" si="9"/>
        <v>0</v>
      </c>
      <c r="Q23" s="663">
        <f t="shared" si="10"/>
        <v>25818131.400000002</v>
      </c>
      <c r="R23" s="637" t="s">
        <v>145</v>
      </c>
      <c r="S23" s="770">
        <f t="shared" si="11"/>
        <v>1</v>
      </c>
    </row>
    <row r="24" spans="1:19">
      <c r="B24" s="756" t="str">
        <f t="shared" si="7"/>
        <v>Voda z vrtu [Kč vč. DPH]</v>
      </c>
      <c r="C24" s="743">
        <v>17</v>
      </c>
      <c r="D24" s="765" t="s">
        <v>182</v>
      </c>
      <c r="E24" s="771">
        <f t="shared" si="8"/>
        <v>1877000</v>
      </c>
      <c r="F24" s="772"/>
      <c r="G24" s="772"/>
      <c r="H24" s="772"/>
      <c r="I24" s="772"/>
      <c r="J24" s="772"/>
      <c r="K24" s="772"/>
      <c r="L24" s="772"/>
      <c r="M24" s="772"/>
      <c r="N24" s="772"/>
      <c r="O24" s="774"/>
      <c r="P24" s="663">
        <f t="shared" si="9"/>
        <v>0</v>
      </c>
      <c r="Q24" s="663">
        <f t="shared" si="10"/>
        <v>18770000</v>
      </c>
      <c r="R24" s="637" t="s">
        <v>145</v>
      </c>
      <c r="S24" s="770">
        <f t="shared" si="11"/>
        <v>1</v>
      </c>
    </row>
    <row r="25" spans="1:19" ht="15.75" thickBot="1">
      <c r="B25" s="758" t="str">
        <f t="shared" si="7"/>
        <v>Ostatní provozní náklady [Kč vč. DPH]</v>
      </c>
      <c r="C25" s="776">
        <v>18</v>
      </c>
      <c r="D25" s="783" t="s">
        <v>182</v>
      </c>
      <c r="E25" s="778">
        <f t="shared" si="8"/>
        <v>0</v>
      </c>
      <c r="F25" s="779"/>
      <c r="G25" s="779"/>
      <c r="H25" s="779"/>
      <c r="I25" s="779"/>
      <c r="J25" s="779"/>
      <c r="K25" s="779"/>
      <c r="L25" s="779"/>
      <c r="M25" s="779"/>
      <c r="N25" s="779"/>
      <c r="O25" s="781"/>
      <c r="P25" s="663">
        <f t="shared" si="9"/>
        <v>0</v>
      </c>
      <c r="Q25" s="663">
        <f t="shared" si="10"/>
        <v>0</v>
      </c>
      <c r="R25" s="637" t="s">
        <v>145</v>
      </c>
      <c r="S25" s="770"/>
    </row>
    <row r="26" spans="1:19" ht="15.75" thickBot="1">
      <c r="B26" s="759" t="s">
        <v>313</v>
      </c>
      <c r="C26" s="784" t="s">
        <v>222</v>
      </c>
      <c r="D26" s="785"/>
      <c r="E26" s="786">
        <f t="shared" ref="E26:O26" si="12">SUM(E21:E25)</f>
        <v>58245853.034000002</v>
      </c>
      <c r="F26" s="787">
        <f t="shared" si="12"/>
        <v>0</v>
      </c>
      <c r="G26" s="787">
        <f t="shared" si="12"/>
        <v>0</v>
      </c>
      <c r="H26" s="787">
        <f t="shared" si="12"/>
        <v>0</v>
      </c>
      <c r="I26" s="787">
        <f t="shared" si="12"/>
        <v>0</v>
      </c>
      <c r="J26" s="787">
        <f t="shared" si="12"/>
        <v>0</v>
      </c>
      <c r="K26" s="787">
        <f t="shared" si="12"/>
        <v>0</v>
      </c>
      <c r="L26" s="787">
        <f t="shared" si="12"/>
        <v>0</v>
      </c>
      <c r="M26" s="787">
        <f t="shared" si="12"/>
        <v>0</v>
      </c>
      <c r="N26" s="787">
        <f t="shared" si="12"/>
        <v>0</v>
      </c>
      <c r="O26" s="788">
        <f t="shared" si="12"/>
        <v>0</v>
      </c>
      <c r="P26" s="663">
        <f t="shared" si="9"/>
        <v>0</v>
      </c>
      <c r="Q26" s="663">
        <f t="shared" si="10"/>
        <v>582458530.33999991</v>
      </c>
      <c r="R26" s="637" t="s">
        <v>145</v>
      </c>
      <c r="S26" s="770">
        <f>Q26/P14</f>
        <v>1</v>
      </c>
    </row>
    <row r="27" spans="1:19" ht="15.75" thickBot="1">
      <c r="B27" s="789"/>
      <c r="C27" s="790"/>
      <c r="D27" s="791"/>
      <c r="E27" s="792"/>
      <c r="F27" s="792"/>
      <c r="G27" s="792"/>
      <c r="H27" s="792"/>
      <c r="I27" s="792"/>
      <c r="J27" s="792"/>
      <c r="K27" s="792"/>
      <c r="L27" s="792"/>
      <c r="M27" s="792"/>
      <c r="N27" s="792"/>
      <c r="O27" s="792"/>
      <c r="P27" s="663"/>
    </row>
    <row r="28" spans="1:19" ht="15.75" thickBot="1">
      <c r="A28" s="793"/>
      <c r="B28" s="1209" t="s">
        <v>223</v>
      </c>
      <c r="C28" s="1210"/>
      <c r="D28" s="1210"/>
      <c r="E28" s="1210"/>
      <c r="F28" s="1210"/>
      <c r="G28" s="1210"/>
      <c r="H28" s="1210"/>
      <c r="I28" s="1210"/>
      <c r="J28" s="1210"/>
      <c r="K28" s="1210"/>
      <c r="L28" s="1210"/>
      <c r="M28" s="1210"/>
      <c r="N28" s="1210"/>
      <c r="O28" s="1211"/>
      <c r="P28" s="794"/>
      <c r="Q28" s="793"/>
    </row>
    <row r="29" spans="1:19">
      <c r="B29" s="764" t="str">
        <f t="shared" ref="B29:B37" si="13">B17</f>
        <v>Teplo [GJ]</v>
      </c>
      <c r="C29" s="743">
        <f>C25+1</f>
        <v>19</v>
      </c>
      <c r="D29" s="765" t="s">
        <v>182</v>
      </c>
      <c r="E29" s="771">
        <f t="shared" ref="E29:E37" si="14">E17</f>
        <v>28231.816400000003</v>
      </c>
      <c r="F29" s="772"/>
      <c r="G29" s="772"/>
      <c r="H29" s="772"/>
      <c r="I29" s="772"/>
      <c r="J29" s="772"/>
      <c r="K29" s="772"/>
      <c r="L29" s="772"/>
      <c r="M29" s="773"/>
      <c r="N29" s="773"/>
      <c r="O29" s="774"/>
      <c r="P29" s="663">
        <f t="shared" ref="P29:P38" si="15">SUM(F29:O29)</f>
        <v>0</v>
      </c>
      <c r="Q29" s="663"/>
      <c r="R29" s="637"/>
      <c r="S29" s="770"/>
    </row>
    <row r="30" spans="1:19">
      <c r="B30" s="764" t="str">
        <f t="shared" si="13"/>
        <v>Elektřina [MWh]</v>
      </c>
      <c r="C30" s="743">
        <f>C29+1</f>
        <v>20</v>
      </c>
      <c r="D30" s="765" t="s">
        <v>182</v>
      </c>
      <c r="E30" s="771">
        <f t="shared" si="14"/>
        <v>3557.6408799999999</v>
      </c>
      <c r="F30" s="772"/>
      <c r="G30" s="772"/>
      <c r="H30" s="772"/>
      <c r="I30" s="772"/>
      <c r="J30" s="772"/>
      <c r="K30" s="772"/>
      <c r="L30" s="772"/>
      <c r="M30" s="773"/>
      <c r="N30" s="773"/>
      <c r="O30" s="774"/>
      <c r="P30" s="663">
        <f t="shared" si="15"/>
        <v>0</v>
      </c>
      <c r="Q30" s="663"/>
      <c r="R30" s="637"/>
      <c r="S30" s="770"/>
    </row>
    <row r="31" spans="1:19">
      <c r="B31" s="756" t="str">
        <f t="shared" si="13"/>
        <v>Voda [m3]</v>
      </c>
      <c r="C31" s="743">
        <f>C30+1</f>
        <v>21</v>
      </c>
      <c r="D31" s="765" t="s">
        <v>182</v>
      </c>
      <c r="E31" s="771">
        <f t="shared" si="14"/>
        <v>21515.109499999999</v>
      </c>
      <c r="F31" s="772"/>
      <c r="G31" s="772"/>
      <c r="H31" s="772"/>
      <c r="I31" s="772"/>
      <c r="J31" s="772"/>
      <c r="K31" s="772"/>
      <c r="L31" s="772"/>
      <c r="M31" s="773"/>
      <c r="N31" s="773"/>
      <c r="O31" s="774"/>
      <c r="P31" s="663">
        <f t="shared" si="15"/>
        <v>0</v>
      </c>
      <c r="Q31" s="663"/>
      <c r="R31" s="637"/>
      <c r="S31" s="770"/>
    </row>
    <row r="32" spans="1:19" ht="15.75" thickBot="1">
      <c r="B32" s="775" t="str">
        <f t="shared" si="13"/>
        <v>Voda z vrtu [m3]</v>
      </c>
      <c r="C32" s="776">
        <f t="shared" ref="C32:C37" si="16">C31+1</f>
        <v>22</v>
      </c>
      <c r="D32" s="777" t="s">
        <v>182</v>
      </c>
      <c r="E32" s="778">
        <f t="shared" si="14"/>
        <v>469250</v>
      </c>
      <c r="F32" s="779"/>
      <c r="G32" s="779"/>
      <c r="H32" s="779"/>
      <c r="I32" s="779"/>
      <c r="J32" s="779"/>
      <c r="K32" s="779"/>
      <c r="L32" s="779"/>
      <c r="M32" s="780"/>
      <c r="N32" s="780"/>
      <c r="O32" s="781"/>
      <c r="P32" s="663">
        <f t="shared" si="15"/>
        <v>0</v>
      </c>
      <c r="Q32" s="663"/>
      <c r="R32" s="637"/>
      <c r="S32" s="770"/>
    </row>
    <row r="33" spans="1:23">
      <c r="B33" s="756" t="str">
        <f t="shared" si="13"/>
        <v>Teplo [Kč vč. DPH]</v>
      </c>
      <c r="C33" s="743">
        <f t="shared" si="16"/>
        <v>23</v>
      </c>
      <c r="D33" s="765" t="s">
        <v>182</v>
      </c>
      <c r="E33" s="766">
        <f t="shared" si="14"/>
        <v>34823795.644000001</v>
      </c>
      <c r="F33" s="767"/>
      <c r="G33" s="767"/>
      <c r="H33" s="767"/>
      <c r="I33" s="767"/>
      <c r="J33" s="767"/>
      <c r="K33" s="767"/>
      <c r="L33" s="767"/>
      <c r="M33" s="767"/>
      <c r="N33" s="767"/>
      <c r="O33" s="769"/>
      <c r="P33" s="663">
        <f t="shared" si="15"/>
        <v>0</v>
      </c>
      <c r="Q33" s="663"/>
      <c r="R33" s="637"/>
      <c r="S33" s="770"/>
    </row>
    <row r="34" spans="1:23">
      <c r="B34" s="756" t="str">
        <f t="shared" si="13"/>
        <v>Elektřina [Kč vč. DPH]</v>
      </c>
      <c r="C34" s="743">
        <f t="shared" si="16"/>
        <v>24</v>
      </c>
      <c r="D34" s="765" t="s">
        <v>182</v>
      </c>
      <c r="E34" s="771">
        <f t="shared" si="14"/>
        <v>18963244.25</v>
      </c>
      <c r="F34" s="772"/>
      <c r="G34" s="772"/>
      <c r="H34" s="772"/>
      <c r="I34" s="772"/>
      <c r="J34" s="772"/>
      <c r="K34" s="772"/>
      <c r="L34" s="772"/>
      <c r="M34" s="772"/>
      <c r="N34" s="772"/>
      <c r="O34" s="774"/>
      <c r="P34" s="663">
        <f t="shared" si="15"/>
        <v>0</v>
      </c>
      <c r="Q34" s="663"/>
      <c r="R34" s="637"/>
      <c r="S34" s="770"/>
    </row>
    <row r="35" spans="1:23">
      <c r="B35" s="756" t="str">
        <f t="shared" si="13"/>
        <v>Voda [Kč vč. DPH]</v>
      </c>
      <c r="C35" s="743">
        <f t="shared" si="16"/>
        <v>25</v>
      </c>
      <c r="D35" s="765" t="s">
        <v>182</v>
      </c>
      <c r="E35" s="771">
        <f t="shared" si="14"/>
        <v>2581813.14</v>
      </c>
      <c r="F35" s="772"/>
      <c r="G35" s="772"/>
      <c r="H35" s="772"/>
      <c r="I35" s="772"/>
      <c r="J35" s="772"/>
      <c r="K35" s="772"/>
      <c r="L35" s="772"/>
      <c r="M35" s="772"/>
      <c r="N35" s="772"/>
      <c r="O35" s="774"/>
      <c r="P35" s="663">
        <f t="shared" si="15"/>
        <v>0</v>
      </c>
      <c r="Q35" s="663"/>
      <c r="R35" s="637"/>
      <c r="S35" s="770"/>
    </row>
    <row r="36" spans="1:23">
      <c r="B36" s="756" t="str">
        <f t="shared" si="13"/>
        <v>Voda z vrtu [Kč vč. DPH]</v>
      </c>
      <c r="C36" s="743">
        <f>C35+1</f>
        <v>26</v>
      </c>
      <c r="D36" s="765" t="s">
        <v>182</v>
      </c>
      <c r="E36" s="771">
        <f t="shared" si="14"/>
        <v>1877000</v>
      </c>
      <c r="F36" s="772"/>
      <c r="G36" s="772"/>
      <c r="H36" s="772"/>
      <c r="I36" s="772"/>
      <c r="J36" s="772"/>
      <c r="K36" s="772"/>
      <c r="L36" s="772"/>
      <c r="M36" s="772"/>
      <c r="N36" s="772"/>
      <c r="O36" s="774"/>
      <c r="P36" s="663">
        <f t="shared" si="15"/>
        <v>0</v>
      </c>
      <c r="Q36" s="663"/>
      <c r="R36" s="637"/>
      <c r="S36" s="770"/>
    </row>
    <row r="37" spans="1:23" ht="15.75" thickBot="1">
      <c r="B37" s="758" t="str">
        <f t="shared" si="13"/>
        <v>Ostatní provozní náklady [Kč vč. DPH]</v>
      </c>
      <c r="C37" s="776">
        <f t="shared" si="16"/>
        <v>27</v>
      </c>
      <c r="D37" s="783" t="s">
        <v>182</v>
      </c>
      <c r="E37" s="778">
        <f t="shared" si="14"/>
        <v>0</v>
      </c>
      <c r="F37" s="779"/>
      <c r="G37" s="779"/>
      <c r="H37" s="779"/>
      <c r="I37" s="779"/>
      <c r="J37" s="779"/>
      <c r="K37" s="779"/>
      <c r="L37" s="779"/>
      <c r="M37" s="779"/>
      <c r="N37" s="779"/>
      <c r="O37" s="781"/>
      <c r="P37" s="663">
        <f t="shared" si="15"/>
        <v>0</v>
      </c>
      <c r="Q37" s="663"/>
      <c r="R37" s="637"/>
      <c r="S37" s="770"/>
    </row>
    <row r="38" spans="1:23" ht="15.75" thickBot="1">
      <c r="A38" s="793"/>
      <c r="B38" s="795" t="s">
        <v>224</v>
      </c>
      <c r="C38" s="796" t="s">
        <v>225</v>
      </c>
      <c r="D38" s="797"/>
      <c r="E38" s="798">
        <f t="shared" ref="E38:O38" si="17">E14-E26</f>
        <v>0</v>
      </c>
      <c r="F38" s="798">
        <f t="shared" si="17"/>
        <v>58245853.034000002</v>
      </c>
      <c r="G38" s="798">
        <f t="shared" si="17"/>
        <v>58245853.034000002</v>
      </c>
      <c r="H38" s="798">
        <f t="shared" si="17"/>
        <v>58245853.034000002</v>
      </c>
      <c r="I38" s="798">
        <f t="shared" si="17"/>
        <v>58245853.034000002</v>
      </c>
      <c r="J38" s="798">
        <f t="shared" si="17"/>
        <v>58245853.034000002</v>
      </c>
      <c r="K38" s="798">
        <f t="shared" si="17"/>
        <v>58245853.034000002</v>
      </c>
      <c r="L38" s="798">
        <f t="shared" si="17"/>
        <v>58245853.034000002</v>
      </c>
      <c r="M38" s="798">
        <f t="shared" si="17"/>
        <v>58245853.034000002</v>
      </c>
      <c r="N38" s="798">
        <f t="shared" si="17"/>
        <v>58245853.034000002</v>
      </c>
      <c r="O38" s="799">
        <f t="shared" si="17"/>
        <v>58245853.034000002</v>
      </c>
      <c r="P38" s="800">
        <f t="shared" si="15"/>
        <v>582458530.33999991</v>
      </c>
      <c r="Q38" s="801" t="s">
        <v>226</v>
      </c>
    </row>
    <row r="39" spans="1:23">
      <c r="A39" s="793"/>
      <c r="C39" s="802"/>
      <c r="D39" s="803" t="s">
        <v>206</v>
      </c>
      <c r="E39" s="804"/>
      <c r="F39" s="805" t="str">
        <f t="shared" ref="F39:P39" si="18">IF(F38=SUM(F33:F37),"OK","!")</f>
        <v>!</v>
      </c>
      <c r="G39" s="805" t="str">
        <f t="shared" si="18"/>
        <v>!</v>
      </c>
      <c r="H39" s="805" t="str">
        <f t="shared" si="18"/>
        <v>!</v>
      </c>
      <c r="I39" s="805" t="str">
        <f t="shared" si="18"/>
        <v>!</v>
      </c>
      <c r="J39" s="805" t="str">
        <f t="shared" si="18"/>
        <v>!</v>
      </c>
      <c r="K39" s="805" t="str">
        <f t="shared" si="18"/>
        <v>!</v>
      </c>
      <c r="L39" s="805" t="str">
        <f t="shared" si="18"/>
        <v>!</v>
      </c>
      <c r="M39" s="805" t="str">
        <f t="shared" si="18"/>
        <v>!</v>
      </c>
      <c r="N39" s="805" t="str">
        <f t="shared" si="18"/>
        <v>!</v>
      </c>
      <c r="O39" s="805" t="str">
        <f t="shared" si="18"/>
        <v>!</v>
      </c>
      <c r="P39" s="805" t="str">
        <f t="shared" si="18"/>
        <v>!</v>
      </c>
      <c r="Q39" s="801"/>
    </row>
    <row r="40" spans="1:23" ht="15.75" thickBot="1">
      <c r="B40" s="806"/>
      <c r="C40" s="790"/>
      <c r="D40" s="807"/>
      <c r="E40" s="808"/>
      <c r="F40" s="792"/>
      <c r="G40" s="792"/>
      <c r="H40" s="792"/>
      <c r="I40" s="792"/>
      <c r="J40" s="792"/>
      <c r="K40" s="792"/>
      <c r="L40" s="792"/>
      <c r="M40" s="792"/>
      <c r="N40" s="792"/>
      <c r="O40" s="792"/>
      <c r="P40" s="663"/>
    </row>
    <row r="41" spans="1:23" ht="15.75" thickBot="1">
      <c r="B41" s="1203" t="s">
        <v>227</v>
      </c>
      <c r="C41" s="1204"/>
      <c r="D41" s="1204"/>
      <c r="E41" s="1204"/>
      <c r="F41" s="1204"/>
      <c r="G41" s="1204"/>
      <c r="H41" s="1204"/>
      <c r="I41" s="1204"/>
      <c r="J41" s="1204"/>
      <c r="K41" s="1204"/>
      <c r="L41" s="1204"/>
      <c r="M41" s="1204"/>
      <c r="N41" s="1204"/>
      <c r="O41" s="1205"/>
      <c r="P41" s="637"/>
    </row>
    <row r="42" spans="1:23">
      <c r="B42" s="809" t="s">
        <v>228</v>
      </c>
      <c r="C42" s="810">
        <f>C37+1</f>
        <v>28</v>
      </c>
      <c r="D42" s="811" t="s">
        <v>182</v>
      </c>
      <c r="E42" s="812"/>
      <c r="F42" s="812"/>
      <c r="G42" s="812"/>
      <c r="H42" s="812"/>
      <c r="I42" s="812"/>
      <c r="J42" s="812"/>
      <c r="K42" s="812"/>
      <c r="L42" s="812"/>
      <c r="M42" s="812"/>
      <c r="N42" s="812"/>
      <c r="O42" s="813"/>
      <c r="P42" s="814">
        <f>SUM(E42:O42)</f>
        <v>0</v>
      </c>
      <c r="Q42" s="808" t="s">
        <v>229</v>
      </c>
      <c r="R42" s="815"/>
      <c r="V42" s="816" t="str">
        <f>IF(P42='Investice a úspory'!D25,"OK","!")</f>
        <v>OK</v>
      </c>
      <c r="W42" s="817" t="s">
        <v>230</v>
      </c>
    </row>
    <row r="43" spans="1:23">
      <c r="B43" s="756" t="s">
        <v>231</v>
      </c>
      <c r="C43" s="743">
        <f>C42+1</f>
        <v>29</v>
      </c>
      <c r="D43" s="782" t="s">
        <v>182</v>
      </c>
      <c r="E43" s="772"/>
      <c r="F43" s="772"/>
      <c r="G43" s="772"/>
      <c r="H43" s="772"/>
      <c r="I43" s="772"/>
      <c r="J43" s="772"/>
      <c r="K43" s="772"/>
      <c r="L43" s="772"/>
      <c r="M43" s="772"/>
      <c r="N43" s="772"/>
      <c r="O43" s="774"/>
      <c r="P43" s="814">
        <f>SUM(E43:O43)</f>
        <v>0</v>
      </c>
      <c r="Q43" s="818" t="s">
        <v>232</v>
      </c>
      <c r="R43" s="815"/>
    </row>
    <row r="44" spans="1:23">
      <c r="B44" s="819" t="s">
        <v>233</v>
      </c>
      <c r="C44" s="743"/>
      <c r="D44" s="782"/>
      <c r="E44" s="820">
        <f t="shared" ref="E44:K44" si="19">E42+E43</f>
        <v>0</v>
      </c>
      <c r="F44" s="820">
        <f t="shared" si="19"/>
        <v>0</v>
      </c>
      <c r="G44" s="820">
        <f t="shared" si="19"/>
        <v>0</v>
      </c>
      <c r="H44" s="820">
        <f t="shared" si="19"/>
        <v>0</v>
      </c>
      <c r="I44" s="820">
        <f t="shared" si="19"/>
        <v>0</v>
      </c>
      <c r="J44" s="820">
        <f t="shared" si="19"/>
        <v>0</v>
      </c>
      <c r="K44" s="820">
        <f t="shared" si="19"/>
        <v>0</v>
      </c>
      <c r="L44" s="820">
        <f>L42+L43</f>
        <v>0</v>
      </c>
      <c r="M44" s="820">
        <f t="shared" ref="M44:P44" si="20">M42+M43</f>
        <v>0</v>
      </c>
      <c r="N44" s="820">
        <f t="shared" si="20"/>
        <v>0</v>
      </c>
      <c r="O44" s="821">
        <f t="shared" si="20"/>
        <v>0</v>
      </c>
      <c r="P44" s="822">
        <f t="shared" si="20"/>
        <v>0</v>
      </c>
      <c r="Q44" s="823" t="s">
        <v>234</v>
      </c>
      <c r="R44" s="815"/>
    </row>
    <row r="45" spans="1:23">
      <c r="B45" s="756" t="s">
        <v>235</v>
      </c>
      <c r="C45" s="743">
        <f>C42+1</f>
        <v>29</v>
      </c>
      <c r="D45" s="782" t="s">
        <v>182</v>
      </c>
      <c r="E45" s="772"/>
      <c r="F45" s="772"/>
      <c r="G45" s="772"/>
      <c r="H45" s="772"/>
      <c r="I45" s="772"/>
      <c r="J45" s="772"/>
      <c r="K45" s="772"/>
      <c r="L45" s="772"/>
      <c r="M45" s="772"/>
      <c r="N45" s="772"/>
      <c r="O45" s="774"/>
      <c r="P45" s="814">
        <f>SUM(E45:O45)</f>
        <v>0</v>
      </c>
      <c r="Q45" s="818" t="s">
        <v>236</v>
      </c>
    </row>
    <row r="46" spans="1:23" ht="15.75" thickBot="1">
      <c r="B46" s="775" t="s">
        <v>237</v>
      </c>
      <c r="C46" s="776">
        <f>C45+1</f>
        <v>30</v>
      </c>
      <c r="D46" s="783" t="s">
        <v>182</v>
      </c>
      <c r="E46" s="824"/>
      <c r="F46" s="824"/>
      <c r="G46" s="824"/>
      <c r="H46" s="824"/>
      <c r="I46" s="824"/>
      <c r="J46" s="824"/>
      <c r="K46" s="824"/>
      <c r="L46" s="824"/>
      <c r="M46" s="824"/>
      <c r="N46" s="824"/>
      <c r="O46" s="825"/>
      <c r="P46" s="814">
        <f>SUM(E46:O46)</f>
        <v>0</v>
      </c>
      <c r="Q46" s="818" t="s">
        <v>238</v>
      </c>
    </row>
    <row r="47" spans="1:23" ht="15.75" thickBot="1">
      <c r="B47" s="759" t="s">
        <v>239</v>
      </c>
      <c r="C47" s="784" t="s">
        <v>240</v>
      </c>
      <c r="D47" s="826"/>
      <c r="E47" s="827">
        <f>SUM(E44:E46)</f>
        <v>0</v>
      </c>
      <c r="F47" s="827">
        <f t="shared" ref="F47:N47" si="21">SUM(F44:F46)</f>
        <v>0</v>
      </c>
      <c r="G47" s="827">
        <f t="shared" si="21"/>
        <v>0</v>
      </c>
      <c r="H47" s="827">
        <f t="shared" si="21"/>
        <v>0</v>
      </c>
      <c r="I47" s="827">
        <f t="shared" si="21"/>
        <v>0</v>
      </c>
      <c r="J47" s="827">
        <f t="shared" si="21"/>
        <v>0</v>
      </c>
      <c r="K47" s="827">
        <f t="shared" si="21"/>
        <v>0</v>
      </c>
      <c r="L47" s="827">
        <f t="shared" si="21"/>
        <v>0</v>
      </c>
      <c r="M47" s="827">
        <f t="shared" si="21"/>
        <v>0</v>
      </c>
      <c r="N47" s="827">
        <f t="shared" si="21"/>
        <v>0</v>
      </c>
      <c r="O47" s="828">
        <f>SUM(O44:O46)</f>
        <v>0</v>
      </c>
      <c r="P47" s="829">
        <f>SUM(P44:P46)</f>
        <v>0</v>
      </c>
      <c r="Q47" s="818" t="s">
        <v>241</v>
      </c>
    </row>
    <row r="48" spans="1:23" ht="15" customHeight="1">
      <c r="B48" s="789"/>
      <c r="C48" s="790"/>
      <c r="D48" s="792"/>
      <c r="E48" s="792"/>
      <c r="F48" s="792"/>
      <c r="G48" s="792"/>
      <c r="H48" s="792"/>
      <c r="I48" s="792"/>
      <c r="J48" s="792"/>
      <c r="K48" s="792"/>
      <c r="L48" s="792"/>
      <c r="M48" s="792"/>
      <c r="N48" s="792"/>
      <c r="O48" s="792"/>
      <c r="Q48" s="818"/>
    </row>
    <row r="49" spans="2:17" ht="15" customHeight="1" thickBot="1">
      <c r="B49" s="789"/>
      <c r="C49" s="790"/>
      <c r="D49" s="792"/>
      <c r="E49" s="792"/>
      <c r="F49" s="792"/>
      <c r="G49" s="792"/>
      <c r="H49" s="792"/>
      <c r="I49" s="792"/>
      <c r="J49" s="792"/>
      <c r="K49" s="792"/>
      <c r="L49" s="792"/>
      <c r="M49" s="792"/>
      <c r="N49" s="792"/>
      <c r="O49" s="792"/>
      <c r="Q49" s="818"/>
    </row>
    <row r="50" spans="2:17" ht="15.75" thickBot="1">
      <c r="B50" s="830" t="s">
        <v>242</v>
      </c>
      <c r="C50" s="831"/>
      <c r="D50" s="831"/>
      <c r="E50" s="831"/>
      <c r="F50" s="832"/>
      <c r="G50" s="832"/>
      <c r="H50" s="833"/>
      <c r="I50" s="833"/>
      <c r="J50" s="833"/>
      <c r="K50" s="833"/>
      <c r="L50" s="833"/>
      <c r="M50" s="833"/>
      <c r="N50" s="833"/>
      <c r="O50" s="834"/>
    </row>
    <row r="51" spans="2:17" ht="15.75" thickBot="1">
      <c r="B51" s="759" t="s">
        <v>243</v>
      </c>
      <c r="C51" s="835" t="s">
        <v>244</v>
      </c>
      <c r="D51" s="836" t="s">
        <v>127</v>
      </c>
      <c r="E51" s="837">
        <f t="shared" ref="E51:P51" si="22">E47-E38</f>
        <v>0</v>
      </c>
      <c r="F51" s="837">
        <f t="shared" si="22"/>
        <v>-58245853.034000002</v>
      </c>
      <c r="G51" s="837">
        <f t="shared" si="22"/>
        <v>-58245853.034000002</v>
      </c>
      <c r="H51" s="837">
        <f t="shared" si="22"/>
        <v>-58245853.034000002</v>
      </c>
      <c r="I51" s="837">
        <f t="shared" si="22"/>
        <v>-58245853.034000002</v>
      </c>
      <c r="J51" s="837">
        <f t="shared" si="22"/>
        <v>-58245853.034000002</v>
      </c>
      <c r="K51" s="837">
        <f t="shared" si="22"/>
        <v>-58245853.034000002</v>
      </c>
      <c r="L51" s="837">
        <f t="shared" si="22"/>
        <v>-58245853.034000002</v>
      </c>
      <c r="M51" s="837">
        <f t="shared" si="22"/>
        <v>-58245853.034000002</v>
      </c>
      <c r="N51" s="837">
        <f t="shared" si="22"/>
        <v>-58245853.034000002</v>
      </c>
      <c r="O51" s="838">
        <f t="shared" si="22"/>
        <v>-58245853.034000002</v>
      </c>
      <c r="P51" s="839">
        <f t="shared" si="22"/>
        <v>-582458530.33999991</v>
      </c>
      <c r="Q51" s="840" t="s">
        <v>245</v>
      </c>
    </row>
    <row r="52" spans="2:17">
      <c r="B52" s="841"/>
      <c r="C52" s="842"/>
      <c r="D52" s="843"/>
      <c r="G52" s="843"/>
      <c r="H52" s="844"/>
      <c r="I52" s="844"/>
      <c r="J52" s="844"/>
      <c r="K52" s="844"/>
      <c r="L52" s="844"/>
      <c r="M52" s="844"/>
      <c r="N52" s="844"/>
      <c r="O52" s="844"/>
      <c r="P52" s="845"/>
      <c r="Q52" s="846" t="s">
        <v>246</v>
      </c>
    </row>
    <row r="53" spans="2:17">
      <c r="B53" s="847"/>
      <c r="C53" s="842"/>
      <c r="D53" s="843"/>
      <c r="G53" s="843"/>
      <c r="H53" s="844"/>
      <c r="I53" s="844"/>
      <c r="J53" s="844"/>
      <c r="K53" s="844"/>
      <c r="L53" s="844"/>
      <c r="M53" s="844"/>
      <c r="N53" s="844"/>
      <c r="O53" s="844"/>
      <c r="P53" s="843"/>
      <c r="Q53" s="846" t="s">
        <v>247</v>
      </c>
    </row>
    <row r="54" spans="2:17">
      <c r="B54" s="848"/>
      <c r="C54" s="790"/>
      <c r="D54" s="782"/>
      <c r="E54" s="849"/>
      <c r="F54" s="849"/>
      <c r="G54" s="849"/>
      <c r="H54" s="849"/>
      <c r="I54" s="849"/>
      <c r="J54" s="849"/>
      <c r="K54" s="849"/>
      <c r="L54" s="849"/>
      <c r="M54" s="849"/>
      <c r="N54" s="849"/>
      <c r="O54" s="849"/>
    </row>
    <row r="55" spans="2:17">
      <c r="F55" s="850"/>
    </row>
  </sheetData>
  <mergeCells count="7">
    <mergeCell ref="B41:O41"/>
    <mergeCell ref="D2:D3"/>
    <mergeCell ref="F2:O2"/>
    <mergeCell ref="P2:P3"/>
    <mergeCell ref="B4:O4"/>
    <mergeCell ref="B16:O16"/>
    <mergeCell ref="B28:O28"/>
  </mergeCells>
  <pageMargins left="0.7" right="0.7" top="0.78740157499999996" bottom="0.78740157499999996" header="0.3" footer="0.3"/>
  <pageSetup paperSize="9" scale="41" orientation="landscape" r:id="rId1"/>
  <headerFooter>
    <oddHeader>&amp;L&amp;"Calibri"&amp;10&amp;K000000 INTERNÍ      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7AFB6"/>
    <pageSetUpPr fitToPage="1"/>
  </sheetPr>
  <dimension ref="B2:K30"/>
  <sheetViews>
    <sheetView workbookViewId="0">
      <selection activeCell="F101" sqref="F101"/>
    </sheetView>
  </sheetViews>
  <sheetFormatPr defaultRowHeight="15"/>
  <cols>
    <col min="1" max="1" width="5.7109375" style="851" customWidth="1"/>
    <col min="2" max="5" width="9.140625" style="851"/>
    <col min="6" max="6" width="25.5703125" style="851" customWidth="1"/>
    <col min="7" max="7" width="6.140625" style="851" customWidth="1"/>
    <col min="8" max="8" width="7.140625" style="851" customWidth="1"/>
    <col min="9" max="9" width="19.85546875" style="851" customWidth="1"/>
    <col min="10" max="10" width="3.7109375" style="851" customWidth="1"/>
    <col min="11" max="11" width="5.85546875" style="851" customWidth="1"/>
    <col min="12" max="16384" width="9.140625" style="851"/>
  </cols>
  <sheetData>
    <row r="2" spans="2:10" ht="24.75" customHeight="1">
      <c r="B2" s="1212" t="s">
        <v>248</v>
      </c>
      <c r="C2" s="1213"/>
      <c r="D2" s="1213"/>
      <c r="E2" s="1213"/>
      <c r="F2" s="1213"/>
      <c r="G2" s="1213"/>
      <c r="H2" s="1213"/>
      <c r="I2" s="1213"/>
      <c r="J2" s="1214"/>
    </row>
    <row r="3" spans="2:10" ht="12.75" customHeight="1"/>
    <row r="4" spans="2:10">
      <c r="G4" s="852"/>
      <c r="H4" s="852"/>
      <c r="I4" s="853"/>
    </row>
    <row r="6" spans="2:10">
      <c r="B6" s="854" t="s">
        <v>249</v>
      </c>
    </row>
    <row r="7" spans="2:10" ht="6.75" customHeight="1">
      <c r="B7" s="855"/>
      <c r="C7" s="852"/>
    </row>
    <row r="8" spans="2:10">
      <c r="B8" s="856" t="s">
        <v>250</v>
      </c>
      <c r="C8" s="857"/>
      <c r="D8" s="857"/>
      <c r="E8" s="857"/>
      <c r="F8" s="857"/>
      <c r="G8" s="857"/>
      <c r="H8" s="857"/>
      <c r="I8" s="858">
        <f>'Modelová nabídka'!P42/1.21</f>
        <v>0</v>
      </c>
      <c r="J8" s="859" t="s">
        <v>152</v>
      </c>
    </row>
    <row r="9" spans="2:10">
      <c r="B9" s="860" t="s">
        <v>251</v>
      </c>
      <c r="C9" s="861"/>
      <c r="D9" s="862"/>
      <c r="E9" s="862"/>
      <c r="F9" s="862"/>
      <c r="G9" s="862"/>
      <c r="H9" s="861">
        <v>0.21</v>
      </c>
      <c r="I9" s="863">
        <f>I8*H9</f>
        <v>0</v>
      </c>
      <c r="J9" s="864" t="s">
        <v>152</v>
      </c>
    </row>
    <row r="10" spans="2:10">
      <c r="B10" s="865" t="s">
        <v>252</v>
      </c>
      <c r="C10" s="866"/>
      <c r="D10" s="866"/>
      <c r="E10" s="866"/>
      <c r="F10" s="866"/>
      <c r="G10" s="866"/>
      <c r="H10" s="866"/>
      <c r="I10" s="867">
        <f>I8+I9</f>
        <v>0</v>
      </c>
      <c r="J10" s="868" t="s">
        <v>152</v>
      </c>
    </row>
    <row r="11" spans="2:10" ht="7.5" customHeight="1"/>
    <row r="14" spans="2:10">
      <c r="B14" s="854" t="s">
        <v>253</v>
      </c>
    </row>
    <row r="15" spans="2:10">
      <c r="B15" s="869" t="s">
        <v>254</v>
      </c>
      <c r="C15" s="870"/>
      <c r="D15" s="870"/>
      <c r="E15" s="870"/>
      <c r="F15" s="870"/>
      <c r="G15" s="870"/>
      <c r="H15" s="870"/>
      <c r="I15" s="871">
        <f>'Modelová nabídka'!P43</f>
        <v>0</v>
      </c>
      <c r="J15" s="872" t="s">
        <v>3</v>
      </c>
    </row>
    <row r="18" spans="2:11">
      <c r="B18" s="873" t="s">
        <v>255</v>
      </c>
    </row>
    <row r="19" spans="2:11" ht="7.5" customHeight="1">
      <c r="B19" s="855"/>
      <c r="C19" s="852"/>
    </row>
    <row r="20" spans="2:11">
      <c r="B20" s="874" t="s">
        <v>256</v>
      </c>
      <c r="C20" s="875"/>
      <c r="D20" s="875"/>
      <c r="E20" s="875"/>
      <c r="F20" s="875"/>
      <c r="G20" s="875"/>
      <c r="H20" s="875"/>
      <c r="I20" s="876">
        <f>'Modelová nabídka'!P45/1.21</f>
        <v>0</v>
      </c>
      <c r="J20" s="877" t="s">
        <v>152</v>
      </c>
      <c r="K20" s="878"/>
    </row>
    <row r="21" spans="2:11">
      <c r="B21" s="879" t="s">
        <v>257</v>
      </c>
      <c r="C21" s="880"/>
      <c r="D21" s="880"/>
      <c r="E21" s="880"/>
      <c r="F21" s="880"/>
      <c r="G21" s="880"/>
      <c r="H21" s="880"/>
      <c r="I21" s="881">
        <f>'Modelová nabídka'!P46/1.21</f>
        <v>0</v>
      </c>
      <c r="J21" s="882" t="s">
        <v>3</v>
      </c>
      <c r="K21" s="878"/>
    </row>
    <row r="22" spans="2:11">
      <c r="B22" s="860" t="s">
        <v>258</v>
      </c>
      <c r="C22" s="862"/>
      <c r="D22" s="862"/>
      <c r="E22" s="862"/>
      <c r="F22" s="862"/>
      <c r="G22" s="862"/>
      <c r="H22" s="862"/>
      <c r="I22" s="863">
        <f>SUM(I20:I21)</f>
        <v>0</v>
      </c>
      <c r="J22" s="864" t="s">
        <v>152</v>
      </c>
    </row>
    <row r="23" spans="2:11">
      <c r="B23" s="860" t="s">
        <v>251</v>
      </c>
      <c r="C23" s="862"/>
      <c r="D23" s="862"/>
      <c r="E23" s="862"/>
      <c r="F23" s="862"/>
      <c r="G23" s="862"/>
      <c r="H23" s="861">
        <v>0.21</v>
      </c>
      <c r="I23" s="863">
        <f>I22*H23</f>
        <v>0</v>
      </c>
      <c r="J23" s="864" t="s">
        <v>3</v>
      </c>
    </row>
    <row r="24" spans="2:11">
      <c r="B24" s="865" t="s">
        <v>259</v>
      </c>
      <c r="C24" s="866"/>
      <c r="D24" s="866"/>
      <c r="E24" s="866"/>
      <c r="F24" s="866"/>
      <c r="G24" s="866"/>
      <c r="H24" s="866"/>
      <c r="I24" s="867">
        <f>I22+I23</f>
        <v>0</v>
      </c>
      <c r="J24" s="868" t="s">
        <v>3</v>
      </c>
    </row>
    <row r="27" spans="2:11">
      <c r="B27" s="854" t="s">
        <v>260</v>
      </c>
    </row>
    <row r="28" spans="2:11">
      <c r="B28" s="883" t="s">
        <v>261</v>
      </c>
      <c r="C28" s="875"/>
      <c r="D28" s="875"/>
      <c r="E28" s="875"/>
      <c r="F28" s="875"/>
      <c r="G28" s="875"/>
      <c r="H28" s="875"/>
      <c r="I28" s="884">
        <f>I8+I15+I22</f>
        <v>0</v>
      </c>
      <c r="J28" s="885" t="s">
        <v>152</v>
      </c>
    </row>
    <row r="29" spans="2:11">
      <c r="B29" s="886" t="s">
        <v>251</v>
      </c>
      <c r="H29" s="878">
        <f>H23</f>
        <v>0.21</v>
      </c>
      <c r="I29" s="887">
        <f>I9+I23</f>
        <v>0</v>
      </c>
      <c r="J29" s="888" t="s">
        <v>3</v>
      </c>
    </row>
    <row r="30" spans="2:11">
      <c r="B30" s="889" t="s">
        <v>262</v>
      </c>
      <c r="C30" s="880"/>
      <c r="D30" s="880"/>
      <c r="E30" s="880"/>
      <c r="F30" s="880"/>
      <c r="G30" s="880"/>
      <c r="H30" s="880"/>
      <c r="I30" s="890">
        <f>I28+I29</f>
        <v>0</v>
      </c>
      <c r="J30" s="891" t="s">
        <v>152</v>
      </c>
    </row>
  </sheetData>
  <mergeCells count="1">
    <mergeCell ref="B2:J2"/>
  </mergeCells>
  <pageMargins left="0.7" right="0.7" top="0.78740157499999996" bottom="0.78740157499999996" header="0.3" footer="0.3"/>
  <pageSetup paperSize="9" scale="79" orientation="portrait" verticalDpi="300" r:id="rId1"/>
  <headerFooter>
    <oddHeader>&amp;L&amp;"Calibri"&amp;10&amp;K000000 INTERNÍ      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B2:AC72"/>
  <sheetViews>
    <sheetView tabSelected="1" zoomScale="85" zoomScaleNormal="85" workbookViewId="0">
      <selection activeCell="K17" sqref="K17"/>
    </sheetView>
  </sheetViews>
  <sheetFormatPr defaultRowHeight="12.75" outlineLevelCol="1"/>
  <cols>
    <col min="1" max="1" width="1" style="892" customWidth="1"/>
    <col min="2" max="2" width="4.28515625" style="892" customWidth="1"/>
    <col min="3" max="3" width="25.28515625" style="892" customWidth="1"/>
    <col min="4" max="4" width="9.85546875" style="892" customWidth="1"/>
    <col min="5" max="5" width="10.5703125" style="892" customWidth="1"/>
    <col min="6" max="6" width="10.42578125" style="892" customWidth="1"/>
    <col min="7" max="7" width="10.5703125" style="892" customWidth="1"/>
    <col min="8" max="8" width="2" style="892" customWidth="1"/>
    <col min="9" max="9" width="9.7109375" style="892" customWidth="1"/>
    <col min="10" max="10" width="10.42578125" style="892" customWidth="1"/>
    <col min="11" max="11" width="10.140625" style="892" customWidth="1"/>
    <col min="12" max="12" width="2.140625" style="892" customWidth="1"/>
    <col min="13" max="13" width="8.7109375" style="892" customWidth="1"/>
    <col min="14" max="14" width="10.140625" style="892" customWidth="1"/>
    <col min="15" max="15" width="10.28515625" style="892" customWidth="1"/>
    <col min="16" max="16" width="2.140625" style="892" customWidth="1"/>
    <col min="17" max="17" width="8.7109375" style="892" customWidth="1"/>
    <col min="18" max="18" width="10.140625" style="892" customWidth="1"/>
    <col min="19" max="19" width="10.28515625" style="892" customWidth="1"/>
    <col min="20" max="20" width="1.85546875" style="892" customWidth="1"/>
    <col min="21" max="21" width="10.42578125" style="892" customWidth="1" outlineLevel="1"/>
    <col min="22" max="22" width="13.28515625" style="892" customWidth="1" outlineLevel="1"/>
    <col min="23" max="23" width="2.42578125" style="892" customWidth="1" outlineLevel="1"/>
    <col min="24" max="24" width="11.28515625" style="892" customWidth="1"/>
    <col min="25" max="25" width="12.140625" style="892" customWidth="1"/>
    <col min="26" max="16384" width="9.140625" style="892"/>
  </cols>
  <sheetData>
    <row r="2" spans="2:25" ht="21">
      <c r="C2" s="893" t="s">
        <v>263</v>
      </c>
    </row>
    <row r="3" spans="2:25">
      <c r="C3" s="892" t="s">
        <v>264</v>
      </c>
      <c r="D3" s="894"/>
      <c r="E3" s="894"/>
      <c r="F3" s="894"/>
      <c r="G3" s="894"/>
      <c r="H3" s="894"/>
      <c r="I3" s="894"/>
      <c r="J3" s="894" t="s">
        <v>327</v>
      </c>
    </row>
    <row r="4" spans="2:25">
      <c r="C4" s="892" t="s">
        <v>265</v>
      </c>
      <c r="D4" s="894"/>
      <c r="E4" s="894"/>
      <c r="F4" s="894"/>
      <c r="G4" s="894"/>
      <c r="H4" s="894"/>
      <c r="I4" s="894"/>
      <c r="K4" s="894"/>
    </row>
    <row r="5" spans="2:25">
      <c r="C5" s="895" t="s">
        <v>266</v>
      </c>
      <c r="D5" s="894"/>
      <c r="E5" s="894"/>
      <c r="F5" s="894"/>
      <c r="G5" s="894"/>
      <c r="H5" s="894"/>
      <c r="I5" s="894"/>
    </row>
    <row r="6" spans="2:25">
      <c r="C6" s="896" t="s">
        <v>267</v>
      </c>
      <c r="D6" s="894"/>
      <c r="E6" s="894"/>
      <c r="F6" s="894"/>
      <c r="G6" s="894"/>
      <c r="H6" s="894"/>
      <c r="I6" s="894"/>
    </row>
    <row r="7" spans="2:25">
      <c r="C7" s="894"/>
      <c r="D7" s="894"/>
      <c r="E7" s="894"/>
      <c r="F7" s="894"/>
      <c r="G7" s="894"/>
      <c r="H7" s="894"/>
      <c r="I7" s="894"/>
    </row>
    <row r="9" spans="2:25" ht="15.75" customHeight="1">
      <c r="C9" s="897" t="s">
        <v>268</v>
      </c>
      <c r="E9" s="1222" t="s">
        <v>269</v>
      </c>
      <c r="F9" s="1222"/>
      <c r="G9" s="1222"/>
      <c r="I9" s="1223" t="s">
        <v>270</v>
      </c>
      <c r="J9" s="1223"/>
      <c r="K9" s="1223"/>
      <c r="M9" s="1224" t="s">
        <v>271</v>
      </c>
      <c r="N9" s="1224"/>
      <c r="O9" s="1224"/>
      <c r="Q9" s="1220" t="s">
        <v>307</v>
      </c>
      <c r="R9" s="1220"/>
      <c r="S9" s="1220"/>
      <c r="U9" s="1225" t="s">
        <v>272</v>
      </c>
      <c r="V9" s="1225"/>
      <c r="X9" s="1215" t="s">
        <v>273</v>
      </c>
      <c r="Y9" s="1215"/>
    </row>
    <row r="10" spans="2:25" ht="15.75" customHeight="1">
      <c r="C10" s="898"/>
      <c r="E10" s="899" t="s">
        <v>274</v>
      </c>
      <c r="F10" s="1216" t="s">
        <v>275</v>
      </c>
      <c r="G10" s="1216"/>
      <c r="I10" s="900" t="s">
        <v>274</v>
      </c>
      <c r="J10" s="1217" t="s">
        <v>275</v>
      </c>
      <c r="K10" s="1217"/>
      <c r="M10" s="901" t="s">
        <v>274</v>
      </c>
      <c r="N10" s="1218" t="s">
        <v>275</v>
      </c>
      <c r="O10" s="1218"/>
      <c r="Q10" s="997" t="s">
        <v>274</v>
      </c>
      <c r="R10" s="1221" t="s">
        <v>275</v>
      </c>
      <c r="S10" s="1221"/>
      <c r="U10" s="1219" t="s">
        <v>276</v>
      </c>
      <c r="V10" s="1219"/>
      <c r="X10" s="1215"/>
      <c r="Y10" s="1215"/>
    </row>
    <row r="11" spans="2:25" ht="15" customHeight="1">
      <c r="E11" s="902" t="s">
        <v>122</v>
      </c>
      <c r="F11" s="903" t="s">
        <v>277</v>
      </c>
      <c r="G11" s="903" t="s">
        <v>145</v>
      </c>
      <c r="I11" s="904" t="s">
        <v>100</v>
      </c>
      <c r="J11" s="905" t="s">
        <v>277</v>
      </c>
      <c r="K11" s="905" t="s">
        <v>145</v>
      </c>
      <c r="M11" s="906" t="s">
        <v>278</v>
      </c>
      <c r="N11" s="907" t="s">
        <v>277</v>
      </c>
      <c r="O11" s="907" t="s">
        <v>145</v>
      </c>
      <c r="Q11" s="998" t="s">
        <v>278</v>
      </c>
      <c r="R11" s="999" t="s">
        <v>277</v>
      </c>
      <c r="S11" s="999" t="s">
        <v>145</v>
      </c>
      <c r="U11" s="908" t="s">
        <v>277</v>
      </c>
      <c r="V11" s="908" t="s">
        <v>145</v>
      </c>
      <c r="X11" s="909" t="s">
        <v>277</v>
      </c>
      <c r="Y11" s="910" t="s">
        <v>145</v>
      </c>
    </row>
    <row r="12" spans="2:25">
      <c r="B12" s="911"/>
      <c r="C12" s="911"/>
      <c r="D12" s="912"/>
      <c r="E12" s="911"/>
      <c r="F12" s="911"/>
      <c r="G12" s="913">
        <v>0.1</v>
      </c>
      <c r="H12" s="911"/>
      <c r="I12" s="911"/>
      <c r="J12" s="911"/>
      <c r="K12" s="913">
        <v>0.21</v>
      </c>
      <c r="L12" s="911"/>
      <c r="M12" s="911"/>
      <c r="N12" s="911"/>
      <c r="O12" s="913">
        <v>0.1</v>
      </c>
      <c r="P12" s="911"/>
      <c r="Q12" s="911"/>
      <c r="R12" s="911"/>
      <c r="S12" s="913">
        <v>0.1</v>
      </c>
      <c r="T12" s="911"/>
      <c r="U12" s="911"/>
      <c r="V12" s="914">
        <v>0.21</v>
      </c>
      <c r="X12" s="911"/>
      <c r="Y12" s="911"/>
    </row>
    <row r="13" spans="2:25" ht="6.75" customHeight="1">
      <c r="C13" s="915"/>
      <c r="G13" s="916"/>
      <c r="J13" s="916"/>
      <c r="K13" s="916"/>
      <c r="N13" s="916"/>
      <c r="O13" s="916"/>
      <c r="R13" s="916"/>
      <c r="S13" s="916"/>
      <c r="V13" s="917"/>
      <c r="X13" s="916"/>
      <c r="Y13" s="916"/>
    </row>
    <row r="14" spans="2:25" s="920" customFormat="1" ht="15">
      <c r="B14" s="918">
        <v>1</v>
      </c>
      <c r="C14" s="915" t="str">
        <f>'Investice a úspory'!C9</f>
        <v>ZŠ a MŠ Březová</v>
      </c>
      <c r="D14" s="919"/>
      <c r="E14" s="1004">
        <f>'Spotřeby 2019-2022'!D6</f>
        <v>3485.5884000000001</v>
      </c>
      <c r="F14" s="1005">
        <f t="shared" ref="F14:F28" si="0">G14/(1+$G$12)</f>
        <v>3960895.9090909087</v>
      </c>
      <c r="G14" s="916">
        <f>E14*G34</f>
        <v>4356985.5</v>
      </c>
      <c r="H14" s="1006"/>
      <c r="I14" s="1004">
        <f>'Spotřeby 2019-2022'!H6</f>
        <v>73.025199999999998</v>
      </c>
      <c r="J14" s="1007">
        <f t="shared" ref="J14:J29" si="1">K14/(1+$K$12)</f>
        <v>377196.28099173558</v>
      </c>
      <c r="K14" s="916">
        <f>I14*K34</f>
        <v>456407.5</v>
      </c>
      <c r="L14" s="1006"/>
      <c r="M14" s="1006">
        <f>'Spotřeby 2019-2022'!N6</f>
        <v>1329.2494999999999</v>
      </c>
      <c r="N14" s="1007">
        <f t="shared" ref="N14:N29" si="2">O14/(1+$O$12)</f>
        <v>145009.03636363635</v>
      </c>
      <c r="O14" s="916">
        <f>M14*O34</f>
        <v>159509.94</v>
      </c>
      <c r="P14" s="1006"/>
      <c r="Q14" s="1006">
        <v>0</v>
      </c>
      <c r="R14" s="1007">
        <f t="shared" ref="R14:R18" si="3">S14/(1+$S$12)</f>
        <v>0</v>
      </c>
      <c r="S14" s="916"/>
      <c r="T14" s="1006"/>
      <c r="U14" s="1006">
        <v>0</v>
      </c>
      <c r="V14" s="1008">
        <v>0</v>
      </c>
      <c r="X14" s="921">
        <f>F14+J14+N14+R14+U14</f>
        <v>4483101.2264462803</v>
      </c>
      <c r="Y14" s="916">
        <f>G14+K14+O14+S14+V14</f>
        <v>4972902.9400000004</v>
      </c>
    </row>
    <row r="15" spans="2:25" s="920" customFormat="1" ht="15">
      <c r="B15" s="918">
        <f>B14+1</f>
        <v>2</v>
      </c>
      <c r="C15" s="915" t="str">
        <f>'Investice a úspory'!C10</f>
        <v>ZŠ Na Pěšině</v>
      </c>
      <c r="D15" s="919"/>
      <c r="E15" s="1004">
        <f>'Spotřeby 2019-2022'!D10</f>
        <v>2974.8672000000001</v>
      </c>
      <c r="F15" s="1005">
        <f t="shared" si="0"/>
        <v>3380530.9090909087</v>
      </c>
      <c r="G15" s="916">
        <f t="shared" ref="G15:G28" si="4">E15*G35</f>
        <v>3718584</v>
      </c>
      <c r="H15" s="1006"/>
      <c r="I15" s="1004">
        <f>'Spotřeby 2019-2022'!H10</f>
        <v>64.037000000000006</v>
      </c>
      <c r="J15" s="1007">
        <f t="shared" si="1"/>
        <v>330769.6280991736</v>
      </c>
      <c r="K15" s="916">
        <f t="shared" ref="K15:K29" si="5">I15*K35</f>
        <v>400231.25000000006</v>
      </c>
      <c r="L15" s="1006"/>
      <c r="M15" s="1006">
        <f>'Spotřeby 2019-2022'!N10</f>
        <v>1610</v>
      </c>
      <c r="N15" s="1007">
        <f t="shared" si="2"/>
        <v>175636.36363636362</v>
      </c>
      <c r="O15" s="916">
        <f t="shared" ref="O15:O29" si="6">M15*O35</f>
        <v>193200</v>
      </c>
      <c r="P15" s="1006"/>
      <c r="Q15" s="1006">
        <v>0</v>
      </c>
      <c r="R15" s="1007">
        <f t="shared" si="3"/>
        <v>0</v>
      </c>
      <c r="S15" s="916"/>
      <c r="T15" s="1006"/>
      <c r="U15" s="1006">
        <v>0</v>
      </c>
      <c r="V15" s="1008">
        <v>0</v>
      </c>
      <c r="X15" s="921">
        <f t="shared" ref="X15:X29" si="7">F15+J15+N15+R15+U15</f>
        <v>3886936.9008264462</v>
      </c>
      <c r="Y15" s="916">
        <f t="shared" ref="Y15:Y29" si="8">G15+K15+O15+S15+V15</f>
        <v>4312015.25</v>
      </c>
    </row>
    <row r="16" spans="2:25" s="920" customFormat="1" ht="15">
      <c r="B16" s="918">
        <f t="shared" ref="B16:B29" si="9">B15+1</f>
        <v>3</v>
      </c>
      <c r="C16" s="915" t="str">
        <f>'Investice a úspory'!C11</f>
        <v>ZŠ Školní</v>
      </c>
      <c r="D16" s="919"/>
      <c r="E16" s="1004">
        <f>'Spotřeby 2019-2022'!D14</f>
        <v>2571.5376000000001</v>
      </c>
      <c r="F16" s="1005">
        <f t="shared" si="0"/>
        <v>2922201.8181818179</v>
      </c>
      <c r="G16" s="916">
        <f t="shared" si="4"/>
        <v>3214422</v>
      </c>
      <c r="H16" s="1006"/>
      <c r="I16" s="1004">
        <f>'Spotřeby 2019-2022'!H14</f>
        <v>78.165999999999997</v>
      </c>
      <c r="J16" s="1007">
        <f t="shared" si="1"/>
        <v>403750</v>
      </c>
      <c r="K16" s="916">
        <f t="shared" si="5"/>
        <v>488537.5</v>
      </c>
      <c r="L16" s="1006"/>
      <c r="M16" s="1006">
        <f>'Spotřeby 2019-2022'!N14</f>
        <v>1143</v>
      </c>
      <c r="N16" s="1007">
        <f t="shared" si="2"/>
        <v>124690.90909090907</v>
      </c>
      <c r="O16" s="916">
        <f t="shared" si="6"/>
        <v>137160</v>
      </c>
      <c r="P16" s="1006"/>
      <c r="Q16" s="1006">
        <v>0</v>
      </c>
      <c r="R16" s="1007">
        <f t="shared" si="3"/>
        <v>0</v>
      </c>
      <c r="S16" s="916"/>
      <c r="T16" s="1006"/>
      <c r="U16" s="1006">
        <v>0</v>
      </c>
      <c r="V16" s="1008">
        <v>0</v>
      </c>
      <c r="X16" s="921">
        <f t="shared" si="7"/>
        <v>3450642.7272727271</v>
      </c>
      <c r="Y16" s="916">
        <f t="shared" si="8"/>
        <v>3840119.5</v>
      </c>
    </row>
    <row r="17" spans="2:26" s="920" customFormat="1" ht="15">
      <c r="B17" s="918">
        <f t="shared" si="9"/>
        <v>4</v>
      </c>
      <c r="C17" s="915" t="str">
        <f>'Investice a úspory'!C12</f>
        <v>MŠ Školní</v>
      </c>
      <c r="D17" s="919"/>
      <c r="E17" s="1004">
        <f>'Spotřeby 2019-2022'!D18</f>
        <v>906.00120000000004</v>
      </c>
      <c r="F17" s="1005">
        <f t="shared" si="0"/>
        <v>1029546.8181818181</v>
      </c>
      <c r="G17" s="916">
        <f t="shared" si="4"/>
        <v>1132501.5</v>
      </c>
      <c r="H17" s="1006"/>
      <c r="I17" s="1173">
        <f>'Spotřeby 2019-2022'!H17</f>
        <v>16.646000000000001</v>
      </c>
      <c r="J17" s="1007">
        <f t="shared" si="1"/>
        <v>85981.404958677682</v>
      </c>
      <c r="K17" s="916">
        <f t="shared" si="5"/>
        <v>104037.5</v>
      </c>
      <c r="L17" s="1006"/>
      <c r="M17" s="1006">
        <f>'Spotřeby 2019-2022'!N18</f>
        <v>671</v>
      </c>
      <c r="N17" s="1007">
        <f t="shared" si="2"/>
        <v>73200</v>
      </c>
      <c r="O17" s="916">
        <f t="shared" si="6"/>
        <v>80520</v>
      </c>
      <c r="P17" s="1006"/>
      <c r="Q17" s="1006">
        <v>0</v>
      </c>
      <c r="R17" s="1007">
        <f t="shared" si="3"/>
        <v>0</v>
      </c>
      <c r="S17" s="916"/>
      <c r="T17" s="1006"/>
      <c r="U17" s="1006">
        <v>0</v>
      </c>
      <c r="V17" s="1008">
        <v>0</v>
      </c>
      <c r="X17" s="921">
        <f t="shared" si="7"/>
        <v>1188728.2231404958</v>
      </c>
      <c r="Y17" s="916">
        <f t="shared" si="8"/>
        <v>1317059</v>
      </c>
    </row>
    <row r="18" spans="2:26" s="920" customFormat="1" ht="15">
      <c r="B18" s="918">
        <f t="shared" si="9"/>
        <v>5</v>
      </c>
      <c r="C18" s="915" t="str">
        <f>'Investice a úspory'!C13</f>
        <v>ZŠ Kosmonautů</v>
      </c>
      <c r="D18" s="919"/>
      <c r="E18" s="1004">
        <f>'Spotřeby 2019-2022'!D22</f>
        <v>1582.0308</v>
      </c>
      <c r="F18" s="1005">
        <f t="shared" si="0"/>
        <v>1797762.2727272725</v>
      </c>
      <c r="G18" s="916">
        <f t="shared" si="4"/>
        <v>1977538.5</v>
      </c>
      <c r="H18" s="1006"/>
      <c r="I18" s="1004">
        <f>'Spotřeby 2019-2022'!H22</f>
        <v>47.238999999999997</v>
      </c>
      <c r="J18" s="1007">
        <f t="shared" si="1"/>
        <v>244003.09917355372</v>
      </c>
      <c r="K18" s="916">
        <f t="shared" si="5"/>
        <v>295243.75</v>
      </c>
      <c r="L18" s="1006"/>
      <c r="M18" s="1006">
        <f>'Spotřeby 2019-2022'!N22</f>
        <v>723</v>
      </c>
      <c r="N18" s="1007">
        <f t="shared" si="2"/>
        <v>78872.727272727265</v>
      </c>
      <c r="O18" s="916">
        <f t="shared" si="6"/>
        <v>86760</v>
      </c>
      <c r="P18" s="1006"/>
      <c r="Q18" s="1006">
        <v>0</v>
      </c>
      <c r="R18" s="1007">
        <f t="shared" si="3"/>
        <v>0</v>
      </c>
      <c r="S18" s="916"/>
      <c r="T18" s="1006"/>
      <c r="U18" s="1006">
        <v>0</v>
      </c>
      <c r="V18" s="1008">
        <v>0</v>
      </c>
      <c r="X18" s="921">
        <f t="shared" si="7"/>
        <v>2120638.0991735533</v>
      </c>
      <c r="Y18" s="916">
        <f t="shared" si="8"/>
        <v>2359542.25</v>
      </c>
    </row>
    <row r="19" spans="2:26" s="920" customFormat="1" ht="15">
      <c r="B19" s="918">
        <f t="shared" si="9"/>
        <v>6</v>
      </c>
      <c r="C19" s="915" t="str">
        <f>'Investice a úspory'!C14</f>
        <v>MŠ Kosmonautů</v>
      </c>
      <c r="D19" s="919"/>
      <c r="E19" s="1004">
        <f>'Spotřeby 2019-2022'!D26</f>
        <v>421.14240000000001</v>
      </c>
      <c r="F19" s="1005">
        <f t="shared" si="0"/>
        <v>478570.90909090906</v>
      </c>
      <c r="G19" s="916">
        <f t="shared" si="4"/>
        <v>526428</v>
      </c>
      <c r="H19" s="1006"/>
      <c r="I19" s="1004">
        <f>'Spotřeby 2019-2022'!H26</f>
        <v>12.86</v>
      </c>
      <c r="J19" s="1007">
        <f t="shared" si="1"/>
        <v>66425.619834710742</v>
      </c>
      <c r="K19" s="916">
        <f t="shared" si="5"/>
        <v>80375</v>
      </c>
      <c r="L19" s="1006"/>
      <c r="M19" s="1006">
        <f>'Spotřeby 2019-2022'!N26</f>
        <v>377</v>
      </c>
      <c r="N19" s="1007">
        <f t="shared" si="2"/>
        <v>41127.272727272721</v>
      </c>
      <c r="O19" s="916">
        <f t="shared" si="6"/>
        <v>45240</v>
      </c>
      <c r="P19" s="1006"/>
      <c r="Q19" s="1006">
        <v>0</v>
      </c>
      <c r="R19" s="1007">
        <f>S19/(1+$S$12)</f>
        <v>0</v>
      </c>
      <c r="S19" s="916"/>
      <c r="T19" s="1006"/>
      <c r="U19" s="1006">
        <v>0</v>
      </c>
      <c r="V19" s="1008">
        <v>0</v>
      </c>
      <c r="X19" s="921">
        <f t="shared" si="7"/>
        <v>586123.80165289249</v>
      </c>
      <c r="Y19" s="916">
        <f t="shared" si="8"/>
        <v>652043</v>
      </c>
    </row>
    <row r="20" spans="2:26" s="920" customFormat="1" ht="15">
      <c r="B20" s="918">
        <f t="shared" si="9"/>
        <v>7</v>
      </c>
      <c r="C20" s="915" t="str">
        <f>'Investice a úspory'!C15</f>
        <v>ŠJ Sládkova</v>
      </c>
      <c r="D20" s="919"/>
      <c r="E20" s="1004">
        <f>'Spotřeby 2019-2022'!D30</f>
        <v>1375.1496</v>
      </c>
      <c r="F20" s="1005">
        <f t="shared" si="0"/>
        <v>1562669.9999999998</v>
      </c>
      <c r="G20" s="916">
        <f t="shared" si="4"/>
        <v>1718937</v>
      </c>
      <c r="H20" s="1006"/>
      <c r="I20" s="1004">
        <f>'Spotřeby 2019-2022'!H30</f>
        <v>134.233</v>
      </c>
      <c r="J20" s="1007">
        <f t="shared" si="1"/>
        <v>693352.27272727271</v>
      </c>
      <c r="K20" s="916">
        <f t="shared" si="5"/>
        <v>838956.25</v>
      </c>
      <c r="L20" s="1006"/>
      <c r="M20" s="1006">
        <f>'Spotřeby 2019-2022'!N30</f>
        <v>2097</v>
      </c>
      <c r="N20" s="1007">
        <f t="shared" si="2"/>
        <v>228763.63636363635</v>
      </c>
      <c r="O20" s="916">
        <f t="shared" si="6"/>
        <v>251640</v>
      </c>
      <c r="P20" s="1006"/>
      <c r="Q20" s="1006">
        <v>0</v>
      </c>
      <c r="R20" s="1007">
        <f t="shared" ref="R20:R29" si="10">S20/(1+$S$12)</f>
        <v>0</v>
      </c>
      <c r="S20" s="916"/>
      <c r="T20" s="1006"/>
      <c r="U20" s="1006">
        <v>0</v>
      </c>
      <c r="V20" s="1008">
        <v>0</v>
      </c>
      <c r="X20" s="921">
        <f t="shared" si="7"/>
        <v>2484785.9090909087</v>
      </c>
      <c r="Y20" s="916">
        <f t="shared" si="8"/>
        <v>2809533.25</v>
      </c>
    </row>
    <row r="21" spans="2:26" s="920" customFormat="1" ht="15">
      <c r="B21" s="918">
        <f t="shared" si="9"/>
        <v>8</v>
      </c>
      <c r="C21" s="915" t="str">
        <f>'Investice a úspory'!C16</f>
        <v>Městské divadlo</v>
      </c>
      <c r="D21" s="919"/>
      <c r="E21" s="1004">
        <f>'Spotřeby 2019-2022'!D34</f>
        <v>1467.8316</v>
      </c>
      <c r="F21" s="1005">
        <f t="shared" si="0"/>
        <v>1667990.4545454544</v>
      </c>
      <c r="G21" s="916">
        <f t="shared" si="4"/>
        <v>1834789.5</v>
      </c>
      <c r="H21" s="1006"/>
      <c r="I21" s="1004">
        <f>'Spotřeby 2019-2022'!H34</f>
        <v>61.527999999999999</v>
      </c>
      <c r="J21" s="1007">
        <f t="shared" si="1"/>
        <v>317809.91735537193</v>
      </c>
      <c r="K21" s="916">
        <f t="shared" si="5"/>
        <v>384550</v>
      </c>
      <c r="L21" s="1006"/>
      <c r="M21" s="1006">
        <f>'Spotřeby 2019-2022'!N34</f>
        <v>404</v>
      </c>
      <c r="N21" s="1007">
        <f t="shared" si="2"/>
        <v>44072.727272727272</v>
      </c>
      <c r="O21" s="916">
        <f t="shared" si="6"/>
        <v>48480</v>
      </c>
      <c r="P21" s="1006"/>
      <c r="Q21" s="1006">
        <v>0</v>
      </c>
      <c r="R21" s="1007">
        <f t="shared" si="10"/>
        <v>0</v>
      </c>
      <c r="S21" s="916"/>
      <c r="T21" s="1006"/>
      <c r="U21" s="1006">
        <v>0</v>
      </c>
      <c r="V21" s="1008">
        <v>0</v>
      </c>
      <c r="X21" s="921">
        <f t="shared" si="7"/>
        <v>2029873.0991735535</v>
      </c>
      <c r="Y21" s="916">
        <f t="shared" si="8"/>
        <v>2267819.5</v>
      </c>
    </row>
    <row r="22" spans="2:26" s="920" customFormat="1" ht="15">
      <c r="B22" s="918">
        <f t="shared" si="9"/>
        <v>9</v>
      </c>
      <c r="C22" s="915" t="str">
        <f>'Investice a úspory'!C17</f>
        <v>ZŠ Vojanova</v>
      </c>
      <c r="D22" s="919"/>
      <c r="E22" s="1004">
        <f>'Spotřeby 2019-2022'!D38</f>
        <v>2588.7492000000002</v>
      </c>
      <c r="F22" s="1005">
        <f t="shared" si="0"/>
        <v>2518146.9490909092</v>
      </c>
      <c r="G22" s="916">
        <f t="shared" si="4"/>
        <v>2769961.6440000003</v>
      </c>
      <c r="H22" s="1006"/>
      <c r="I22" s="1004">
        <f>'Spotřeby 2019-2022'!H38</f>
        <v>130.28899999999999</v>
      </c>
      <c r="J22" s="1007">
        <f t="shared" si="1"/>
        <v>672980.37190082634</v>
      </c>
      <c r="K22" s="916">
        <f t="shared" si="5"/>
        <v>814306.24999999988</v>
      </c>
      <c r="L22" s="1006"/>
      <c r="M22" s="1006">
        <f>'Spotřeby 2019-2022'!N38</f>
        <v>2200</v>
      </c>
      <c r="N22" s="1007">
        <f t="shared" si="2"/>
        <v>239999.99999999997</v>
      </c>
      <c r="O22" s="916">
        <f t="shared" si="6"/>
        <v>264000</v>
      </c>
      <c r="P22" s="1006"/>
      <c r="Q22" s="1006">
        <v>0</v>
      </c>
      <c r="R22" s="1007">
        <f t="shared" si="10"/>
        <v>0</v>
      </c>
      <c r="S22" s="916"/>
      <c r="T22" s="1006"/>
      <c r="U22" s="1006">
        <v>0</v>
      </c>
      <c r="V22" s="1008">
        <v>0</v>
      </c>
      <c r="X22" s="921">
        <f t="shared" si="7"/>
        <v>3431127.3209917354</v>
      </c>
      <c r="Y22" s="916">
        <f t="shared" si="8"/>
        <v>3848267.8940000003</v>
      </c>
    </row>
    <row r="23" spans="2:26" s="920" customFormat="1" ht="15">
      <c r="B23" s="918">
        <f t="shared" si="9"/>
        <v>10</v>
      </c>
      <c r="C23" s="915" t="str">
        <f>'Investice a úspory'!C18</f>
        <v>MŠ Riegrova</v>
      </c>
      <c r="D23" s="919"/>
      <c r="E23" s="1004">
        <f>'Spotřeby 2019-2022'!D42</f>
        <v>1198.0008</v>
      </c>
      <c r="F23" s="1005">
        <f t="shared" si="0"/>
        <v>1361364.5454545454</v>
      </c>
      <c r="G23" s="916">
        <f t="shared" si="4"/>
        <v>1497501</v>
      </c>
      <c r="H23" s="1006"/>
      <c r="I23" s="1004">
        <f>'Spotřeby 2019-2022'!H42</f>
        <v>32.682000000000002</v>
      </c>
      <c r="J23" s="1007">
        <f t="shared" si="1"/>
        <v>168811.98347107437</v>
      </c>
      <c r="K23" s="916">
        <f t="shared" si="5"/>
        <v>204262.5</v>
      </c>
      <c r="L23" s="1006"/>
      <c r="M23" s="1010">
        <f>'Spotřeby 2019-2022'!N39</f>
        <v>1577</v>
      </c>
      <c r="N23" s="1007">
        <f t="shared" si="2"/>
        <v>172036.36363636362</v>
      </c>
      <c r="O23" s="916">
        <f t="shared" si="6"/>
        <v>189240</v>
      </c>
      <c r="P23" s="1006"/>
      <c r="Q23" s="1006">
        <v>0</v>
      </c>
      <c r="R23" s="1007">
        <f t="shared" si="10"/>
        <v>0</v>
      </c>
      <c r="S23" s="916"/>
      <c r="T23" s="1006"/>
      <c r="U23" s="1006">
        <v>0</v>
      </c>
      <c r="V23" s="1008">
        <v>0</v>
      </c>
      <c r="X23" s="921">
        <f t="shared" si="7"/>
        <v>1702212.8925619833</v>
      </c>
      <c r="Y23" s="916">
        <f t="shared" si="8"/>
        <v>1891003.5</v>
      </c>
    </row>
    <row r="24" spans="2:26" s="920" customFormat="1" ht="15">
      <c r="B24" s="918">
        <f t="shared" si="9"/>
        <v>11</v>
      </c>
      <c r="C24" s="915" t="str">
        <f>'Investice a úspory'!C19</f>
        <v>ZŠ Míru</v>
      </c>
      <c r="D24" s="919"/>
      <c r="E24" s="1004">
        <f>'Spotřeby 2019-2022'!D46</f>
        <v>4418.7120000000004</v>
      </c>
      <c r="F24" s="1005">
        <f t="shared" si="0"/>
        <v>5021263.6363636367</v>
      </c>
      <c r="G24" s="916">
        <f t="shared" si="4"/>
        <v>5523390.0000000009</v>
      </c>
      <c r="H24" s="1006"/>
      <c r="I24" s="1004">
        <f>'Spotřeby 2019-2022'!H46</f>
        <v>80.256</v>
      </c>
      <c r="J24" s="1007">
        <f t="shared" si="1"/>
        <v>414545.45454545453</v>
      </c>
      <c r="K24" s="916">
        <f t="shared" si="5"/>
        <v>501600</v>
      </c>
      <c r="L24" s="1006"/>
      <c r="M24" s="1006">
        <f>'Spotřeby 2019-2022'!N46</f>
        <v>1113</v>
      </c>
      <c r="N24" s="1007">
        <f t="shared" si="2"/>
        <v>121418.18181818181</v>
      </c>
      <c r="O24" s="916">
        <f t="shared" si="6"/>
        <v>133560</v>
      </c>
      <c r="P24" s="1006"/>
      <c r="Q24" s="1006">
        <v>0</v>
      </c>
      <c r="R24" s="1007">
        <f t="shared" si="10"/>
        <v>0</v>
      </c>
      <c r="S24" s="916"/>
      <c r="T24" s="1006"/>
      <c r="U24" s="1006">
        <v>0</v>
      </c>
      <c r="V24" s="1008">
        <v>0</v>
      </c>
      <c r="X24" s="921">
        <f t="shared" si="7"/>
        <v>5557227.2727272725</v>
      </c>
      <c r="Y24" s="916">
        <f t="shared" si="8"/>
        <v>6158550.0000000009</v>
      </c>
    </row>
    <row r="25" spans="2:26" s="920" customFormat="1" ht="15">
      <c r="B25" s="918">
        <f t="shared" si="9"/>
        <v>12</v>
      </c>
      <c r="C25" s="915" t="str">
        <f>'Investice a úspory'!C20</f>
        <v>Městská knihovna</v>
      </c>
      <c r="D25" s="919"/>
      <c r="E25" s="1004">
        <f>'Spotřeby 2019-2022'!D50</f>
        <v>686.56319999999994</v>
      </c>
      <c r="F25" s="1005">
        <f t="shared" si="0"/>
        <v>780185.45454545435</v>
      </c>
      <c r="G25" s="916">
        <f t="shared" si="4"/>
        <v>858203.99999999988</v>
      </c>
      <c r="H25" s="1006"/>
      <c r="I25" s="1004">
        <f>'Spotřeby 2019-2022'!H50</f>
        <v>172.00200000000001</v>
      </c>
      <c r="J25" s="1007">
        <f t="shared" si="1"/>
        <v>710752.0661157025</v>
      </c>
      <c r="K25" s="916">
        <f t="shared" si="5"/>
        <v>860010</v>
      </c>
      <c r="L25" s="1006"/>
      <c r="M25" s="1006">
        <f>'Spotřeby 2019-2022'!N50</f>
        <v>618</v>
      </c>
      <c r="N25" s="1007">
        <f t="shared" si="2"/>
        <v>67418.181818181809</v>
      </c>
      <c r="O25" s="916">
        <f t="shared" si="6"/>
        <v>74160</v>
      </c>
      <c r="P25" s="1006"/>
      <c r="Q25" s="1006">
        <v>0</v>
      </c>
      <c r="R25" s="1007">
        <f t="shared" si="10"/>
        <v>0</v>
      </c>
      <c r="S25" s="916"/>
      <c r="T25" s="1006"/>
      <c r="U25" s="1006">
        <v>0</v>
      </c>
      <c r="V25" s="1008">
        <v>0</v>
      </c>
      <c r="X25" s="921">
        <f t="shared" si="7"/>
        <v>1558355.7024793387</v>
      </c>
      <c r="Y25" s="916">
        <f t="shared" si="8"/>
        <v>1792374</v>
      </c>
    </row>
    <row r="26" spans="2:26" s="920" customFormat="1" ht="15">
      <c r="B26" s="918">
        <f t="shared" si="9"/>
        <v>13</v>
      </c>
      <c r="C26" s="915" t="str">
        <f>'Investice a úspory'!C21</f>
        <v>Kino</v>
      </c>
      <c r="D26" s="919"/>
      <c r="E26" s="1004">
        <f>'Spotřeby 2019-2022'!D54</f>
        <v>972.2195999999999</v>
      </c>
      <c r="F26" s="1005">
        <f t="shared" si="0"/>
        <v>1104794.9999999998</v>
      </c>
      <c r="G26" s="916">
        <f t="shared" si="4"/>
        <v>1215274.4999999998</v>
      </c>
      <c r="H26" s="1006"/>
      <c r="I26" s="1004">
        <f>'Spotřeby 2019-2022'!H54</f>
        <v>46.220680000000002</v>
      </c>
      <c r="J26" s="1007">
        <f t="shared" si="1"/>
        <v>238743.18181818182</v>
      </c>
      <c r="K26" s="916">
        <f t="shared" si="5"/>
        <v>288879.25</v>
      </c>
      <c r="L26" s="1006"/>
      <c r="M26" s="1006">
        <f>'Spotřeby 2019-2022'!N54</f>
        <v>452</v>
      </c>
      <c r="N26" s="1007">
        <f t="shared" si="2"/>
        <v>49309.090909090904</v>
      </c>
      <c r="O26" s="916">
        <f t="shared" si="6"/>
        <v>54240</v>
      </c>
      <c r="P26" s="1006"/>
      <c r="Q26" s="1006">
        <v>0</v>
      </c>
      <c r="R26" s="1007">
        <f t="shared" si="10"/>
        <v>0</v>
      </c>
      <c r="S26" s="916"/>
      <c r="T26" s="1006"/>
      <c r="U26" s="1006">
        <v>0</v>
      </c>
      <c r="V26" s="1008">
        <v>0</v>
      </c>
      <c r="X26" s="921">
        <f t="shared" si="7"/>
        <v>1392847.2727272725</v>
      </c>
      <c r="Y26" s="916">
        <f t="shared" si="8"/>
        <v>1558393.7499999998</v>
      </c>
    </row>
    <row r="27" spans="2:26" s="920" customFormat="1" ht="15">
      <c r="B27" s="918">
        <f t="shared" si="9"/>
        <v>14</v>
      </c>
      <c r="C27" s="915" t="str">
        <f>'Investice a úspory'!C22</f>
        <v>Magistrát B1+B2</v>
      </c>
      <c r="D27" s="919"/>
      <c r="E27" s="1004">
        <f>'Spotřeby 2019-2022'!D58</f>
        <v>1503.4787999999999</v>
      </c>
      <c r="F27" s="1005">
        <f t="shared" si="0"/>
        <v>1708498.636363636</v>
      </c>
      <c r="G27" s="916">
        <f t="shared" si="4"/>
        <v>1879348.4999999998</v>
      </c>
      <c r="H27" s="1006"/>
      <c r="I27" s="1004">
        <f>'Spotřeby 2019-2022'!H58</f>
        <v>162.85</v>
      </c>
      <c r="J27" s="1007">
        <f t="shared" si="1"/>
        <v>841167.35537190083</v>
      </c>
      <c r="K27" s="916">
        <f t="shared" si="5"/>
        <v>1017812.5</v>
      </c>
      <c r="L27" s="1006"/>
      <c r="M27" s="1006">
        <f>'Spotřeby 2019-2022'!N58</f>
        <v>1073</v>
      </c>
      <c r="N27" s="1007">
        <f t="shared" si="2"/>
        <v>117054.54545454544</v>
      </c>
      <c r="O27" s="916">
        <f t="shared" si="6"/>
        <v>128760</v>
      </c>
      <c r="P27" s="1006"/>
      <c r="Q27" s="1006">
        <v>0</v>
      </c>
      <c r="R27" s="1007">
        <f t="shared" si="10"/>
        <v>0</v>
      </c>
      <c r="S27" s="916"/>
      <c r="T27" s="1006"/>
      <c r="U27" s="1006">
        <v>0</v>
      </c>
      <c r="V27" s="1008">
        <v>0</v>
      </c>
      <c r="X27" s="921">
        <f t="shared" si="7"/>
        <v>2666720.537190082</v>
      </c>
      <c r="Y27" s="916">
        <f t="shared" si="8"/>
        <v>3025921</v>
      </c>
    </row>
    <row r="28" spans="2:26" s="920" customFormat="1" ht="15">
      <c r="B28" s="918">
        <f t="shared" si="9"/>
        <v>15</v>
      </c>
      <c r="C28" s="915" t="str">
        <f>'Investice a úspory'!C23</f>
        <v>Zimní stadion</v>
      </c>
      <c r="D28" s="919"/>
      <c r="E28" s="1004">
        <f>'Spotřeby 2019-2022'!D62</f>
        <v>2079.944</v>
      </c>
      <c r="F28" s="1005">
        <f t="shared" si="0"/>
        <v>2363572.7272727271</v>
      </c>
      <c r="G28" s="916">
        <f t="shared" si="4"/>
        <v>2599930</v>
      </c>
      <c r="H28" s="1006"/>
      <c r="I28" s="1004">
        <f>'Spotřeby 2019-2022'!H62</f>
        <v>661.66499999999996</v>
      </c>
      <c r="J28" s="1007">
        <f t="shared" si="1"/>
        <v>2734152.8925619838</v>
      </c>
      <c r="K28" s="916">
        <f t="shared" si="5"/>
        <v>3308325</v>
      </c>
      <c r="L28" s="1006"/>
      <c r="M28" s="1006">
        <f>'Spotřeby 2019-2022'!N62</f>
        <v>4630</v>
      </c>
      <c r="N28" s="1007">
        <f t="shared" si="2"/>
        <v>505090.90909090906</v>
      </c>
      <c r="O28" s="916">
        <f t="shared" si="6"/>
        <v>555600</v>
      </c>
      <c r="P28" s="1006"/>
      <c r="Q28" s="1006">
        <v>0</v>
      </c>
      <c r="R28" s="1007">
        <f t="shared" si="10"/>
        <v>0</v>
      </c>
      <c r="S28" s="916"/>
      <c r="T28" s="1006"/>
      <c r="U28" s="1006">
        <v>0</v>
      </c>
      <c r="V28" s="1008">
        <v>0</v>
      </c>
      <c r="X28" s="921">
        <f t="shared" si="7"/>
        <v>5602816.52892562</v>
      </c>
      <c r="Y28" s="916">
        <f t="shared" si="8"/>
        <v>6463855</v>
      </c>
    </row>
    <row r="29" spans="2:26" s="920" customFormat="1" ht="15">
      <c r="B29" s="918">
        <f t="shared" si="9"/>
        <v>16</v>
      </c>
      <c r="C29" s="915" t="str">
        <f>'Investice a úspory'!C24</f>
        <v>Aquapark</v>
      </c>
      <c r="D29" s="915"/>
      <c r="E29" s="1009">
        <v>0</v>
      </c>
      <c r="F29" s="1007">
        <v>0</v>
      </c>
      <c r="G29" s="916">
        <v>0</v>
      </c>
      <c r="H29" s="916"/>
      <c r="I29" s="1004">
        <f>'Spotřeby 2019-2022'!H66</f>
        <v>1783.942</v>
      </c>
      <c r="J29" s="1007">
        <f t="shared" si="1"/>
        <v>7371661.1570247933</v>
      </c>
      <c r="K29" s="916">
        <f t="shared" si="5"/>
        <v>8919710</v>
      </c>
      <c r="L29" s="916"/>
      <c r="M29" s="1011">
        <f>'16_Aquapark'!M16+'16_Aquapark'!X16</f>
        <v>1497.86</v>
      </c>
      <c r="N29" s="1007">
        <f t="shared" si="2"/>
        <v>163402.90909090906</v>
      </c>
      <c r="O29" s="916">
        <f t="shared" si="6"/>
        <v>179743.19999999998</v>
      </c>
      <c r="P29" s="916"/>
      <c r="Q29" s="1011">
        <f>'16_Aquapark'!AI16</f>
        <v>469250</v>
      </c>
      <c r="R29" s="1007">
        <f t="shared" si="10"/>
        <v>1706363.6363636362</v>
      </c>
      <c r="S29" s="916">
        <f t="shared" ref="S29" si="11">Q29*S49</f>
        <v>1877000</v>
      </c>
      <c r="T29" s="916"/>
      <c r="U29" s="916">
        <v>0</v>
      </c>
      <c r="V29" s="921">
        <v>0</v>
      </c>
      <c r="X29" s="921">
        <f t="shared" si="7"/>
        <v>9241427.7024793383</v>
      </c>
      <c r="Y29" s="916">
        <f t="shared" si="8"/>
        <v>10976453.199999999</v>
      </c>
    </row>
    <row r="30" spans="2:26" s="922" customFormat="1" ht="15" customHeight="1">
      <c r="C30" s="923" t="s">
        <v>184</v>
      </c>
      <c r="D30" s="924"/>
      <c r="E30" s="925">
        <f>SUM(E14:E29)</f>
        <v>28231.816400000003</v>
      </c>
      <c r="F30" s="926">
        <f>SUM(F14:F29)</f>
        <v>31657996.039999999</v>
      </c>
      <c r="G30" s="927">
        <f>SUM(G14:G29)</f>
        <v>34823795.644000001</v>
      </c>
      <c r="H30" s="924"/>
      <c r="I30" s="928">
        <f>SUM(I14:I29)</f>
        <v>3557.6408799999999</v>
      </c>
      <c r="J30" s="929">
        <f>SUM(J14:J29)</f>
        <v>15672102.685950413</v>
      </c>
      <c r="K30" s="930">
        <f>SUM(K14:K29)</f>
        <v>18963244.25</v>
      </c>
      <c r="L30" s="924"/>
      <c r="M30" s="931">
        <f>SUM(M14:M29)</f>
        <v>21515.109499999999</v>
      </c>
      <c r="N30" s="932">
        <f>SUM(N14:N29)</f>
        <v>2347102.8545454545</v>
      </c>
      <c r="O30" s="931">
        <f>SUM(O14:O29)</f>
        <v>2581813.14</v>
      </c>
      <c r="P30" s="924"/>
      <c r="Q30" s="1002">
        <f>SUM(Q14:Q29)</f>
        <v>469250</v>
      </c>
      <c r="R30" s="1003">
        <f>SUM(R14:R29)</f>
        <v>1706363.6363636362</v>
      </c>
      <c r="S30" s="1002">
        <f>SUM(S14:S29)</f>
        <v>1877000</v>
      </c>
      <c r="T30" s="924"/>
      <c r="U30" s="933"/>
      <c r="V30" s="933"/>
      <c r="W30" s="924"/>
      <c r="X30" s="934">
        <f>SUM(X14:X29)</f>
        <v>51383565.216859505</v>
      </c>
      <c r="Y30" s="934">
        <f>SUM(Y14:Y29)</f>
        <v>58245853.034000009</v>
      </c>
      <c r="Z30" s="924"/>
    </row>
    <row r="31" spans="2:26">
      <c r="B31" s="935"/>
      <c r="D31" s="935"/>
      <c r="E31" s="935"/>
      <c r="F31" s="935"/>
      <c r="G31" s="935"/>
      <c r="H31" s="935"/>
      <c r="I31" s="935"/>
      <c r="J31" s="935"/>
      <c r="K31" s="935"/>
      <c r="L31" s="935"/>
      <c r="M31" s="935"/>
      <c r="N31" s="936"/>
      <c r="O31" s="935"/>
      <c r="P31" s="935"/>
      <c r="Q31" s="935"/>
      <c r="R31" s="936"/>
      <c r="S31" s="935"/>
      <c r="T31" s="935"/>
      <c r="U31" s="935"/>
      <c r="V31" s="935"/>
    </row>
    <row r="32" spans="2:26" ht="15.75">
      <c r="B32" s="937"/>
      <c r="C32" s="938" t="s">
        <v>279</v>
      </c>
      <c r="D32" s="939"/>
      <c r="E32" s="940"/>
      <c r="F32" s="940"/>
      <c r="G32" s="941" t="str">
        <f>E9</f>
        <v>TEPLO</v>
      </c>
      <c r="H32" s="940"/>
      <c r="I32" s="940"/>
      <c r="J32" s="940"/>
      <c r="K32" s="942" t="str">
        <f>I9</f>
        <v>ELEKTŘINA</v>
      </c>
      <c r="L32" s="940"/>
      <c r="M32" s="940"/>
      <c r="N32" s="940"/>
      <c r="O32" s="943" t="str">
        <f>M9</f>
        <v>VODA</v>
      </c>
      <c r="P32" s="940"/>
      <c r="Q32" s="940"/>
      <c r="R32" s="940"/>
      <c r="S32" s="1000" t="str">
        <f>Q9</f>
        <v>VODA Z VRTU</v>
      </c>
      <c r="T32" s="939"/>
      <c r="U32" s="944"/>
      <c r="V32" s="939"/>
      <c r="Z32" s="892" t="s">
        <v>315</v>
      </c>
    </row>
    <row r="33" spans="2:29" ht="15">
      <c r="B33" s="945"/>
      <c r="C33" s="946" t="s">
        <v>280</v>
      </c>
      <c r="D33" s="947"/>
      <c r="E33" s="948"/>
      <c r="F33" s="948"/>
      <c r="G33" s="949" t="s">
        <v>123</v>
      </c>
      <c r="H33" s="948"/>
      <c r="I33" s="948"/>
      <c r="J33" s="948"/>
      <c r="K33" s="950" t="s">
        <v>121</v>
      </c>
      <c r="L33" s="948"/>
      <c r="M33" s="948"/>
      <c r="N33" s="948"/>
      <c r="O33" s="951" t="s">
        <v>281</v>
      </c>
      <c r="P33" s="948"/>
      <c r="Q33" s="948"/>
      <c r="R33" s="948"/>
      <c r="S33" s="1001" t="s">
        <v>281</v>
      </c>
      <c r="T33" s="939"/>
      <c r="U33" s="944"/>
      <c r="V33" s="939"/>
      <c r="Y33" s="892" t="s">
        <v>314</v>
      </c>
      <c r="Z33" s="1034">
        <v>0.25</v>
      </c>
    </row>
    <row r="34" spans="2:29" ht="15">
      <c r="B34" s="952">
        <f>B14</f>
        <v>1</v>
      </c>
      <c r="C34" s="953" t="str">
        <f>C14</f>
        <v>ZŠ a MŠ Březová</v>
      </c>
      <c r="D34" s="954"/>
      <c r="E34" s="955"/>
      <c r="F34" s="956"/>
      <c r="G34" s="996">
        <v>1250</v>
      </c>
      <c r="H34" s="956"/>
      <c r="I34" s="956"/>
      <c r="J34" s="956"/>
      <c r="K34" s="996">
        <v>6250</v>
      </c>
      <c r="L34" s="956"/>
      <c r="M34" s="956"/>
      <c r="N34" s="956"/>
      <c r="O34" s="996">
        <v>120</v>
      </c>
      <c r="P34" s="956"/>
      <c r="Q34" s="956"/>
      <c r="R34" s="956"/>
      <c r="S34" s="996" t="s">
        <v>127</v>
      </c>
      <c r="T34" s="957"/>
      <c r="U34" s="957"/>
      <c r="V34" s="958"/>
      <c r="X34" s="1033">
        <f t="shared" ref="X34:X49" si="12">K34/Y34</f>
        <v>1.1386270638523779</v>
      </c>
      <c r="Y34" s="968">
        <f>'Spotřeby 2019-2022'!J6</f>
        <v>5489.0667879033554</v>
      </c>
      <c r="Z34" s="1032">
        <f>ROUND(Y34*(1+$Z$33),-1)</f>
        <v>6860</v>
      </c>
    </row>
    <row r="35" spans="2:29" ht="15">
      <c r="B35" s="952">
        <f>B15</f>
        <v>2</v>
      </c>
      <c r="C35" s="953" t="str">
        <f>C15</f>
        <v>ZŠ Na Pěšině</v>
      </c>
      <c r="D35" s="954"/>
      <c r="E35" s="955"/>
      <c r="F35" s="956"/>
      <c r="G35" s="996">
        <f>G34</f>
        <v>1250</v>
      </c>
      <c r="H35" s="956"/>
      <c r="I35" s="956"/>
      <c r="J35" s="956"/>
      <c r="K35" s="996">
        <f>K34</f>
        <v>6250</v>
      </c>
      <c r="L35" s="956"/>
      <c r="M35" s="956"/>
      <c r="N35" s="956"/>
      <c r="O35" s="996">
        <f>O34</f>
        <v>120</v>
      </c>
      <c r="P35" s="956"/>
      <c r="Q35" s="956"/>
      <c r="R35" s="956"/>
      <c r="S35" s="996" t="s">
        <v>127</v>
      </c>
      <c r="T35" s="957"/>
      <c r="U35" s="957"/>
      <c r="V35" s="958"/>
      <c r="X35" s="1033">
        <f t="shared" si="12"/>
        <v>1.0821593303552028</v>
      </c>
      <c r="Y35" s="968">
        <f>'Spotřeby 2019-2022'!J10</f>
        <v>5775.4896388025682</v>
      </c>
      <c r="Z35" s="1032">
        <f t="shared" ref="Z35:Z47" si="13">ROUND(Y35*(1+$Z$33),-1)</f>
        <v>7220</v>
      </c>
    </row>
    <row r="36" spans="2:29" ht="15">
      <c r="B36" s="952">
        <f t="shared" ref="B36:C49" si="14">B16</f>
        <v>3</v>
      </c>
      <c r="C36" s="953" t="str">
        <f t="shared" si="14"/>
        <v>ZŠ Školní</v>
      </c>
      <c r="D36" s="954"/>
      <c r="E36" s="955"/>
      <c r="F36" s="956"/>
      <c r="G36" s="996">
        <f t="shared" ref="G36:G48" si="15">G35</f>
        <v>1250</v>
      </c>
      <c r="H36" s="956"/>
      <c r="I36" s="956"/>
      <c r="J36" s="956"/>
      <c r="K36" s="996">
        <f>K35</f>
        <v>6250</v>
      </c>
      <c r="L36" s="956"/>
      <c r="M36" s="956"/>
      <c r="N36" s="956"/>
      <c r="O36" s="996">
        <f>O35</f>
        <v>120</v>
      </c>
      <c r="P36" s="956"/>
      <c r="Q36" s="956"/>
      <c r="R36" s="956"/>
      <c r="S36" s="996" t="s">
        <v>127</v>
      </c>
      <c r="T36" s="957"/>
      <c r="U36" s="957"/>
      <c r="V36" s="958"/>
      <c r="X36" s="1033">
        <f t="shared" si="12"/>
        <v>1.1350989330656702</v>
      </c>
      <c r="Y36" s="968">
        <f>'Spotřeby 2019-2022'!J14</f>
        <v>5506.1279840339794</v>
      </c>
      <c r="Z36" s="1032">
        <f t="shared" si="13"/>
        <v>6880</v>
      </c>
    </row>
    <row r="37" spans="2:29" ht="15">
      <c r="B37" s="952">
        <f t="shared" si="14"/>
        <v>4</v>
      </c>
      <c r="C37" s="953" t="str">
        <f t="shared" si="14"/>
        <v>MŠ Školní</v>
      </c>
      <c r="D37" s="954"/>
      <c r="E37" s="955"/>
      <c r="F37" s="956"/>
      <c r="G37" s="996">
        <f t="shared" si="15"/>
        <v>1250</v>
      </c>
      <c r="H37" s="956"/>
      <c r="I37" s="956"/>
      <c r="J37" s="956"/>
      <c r="K37" s="996">
        <f t="shared" ref="K37:K49" si="16">K36</f>
        <v>6250</v>
      </c>
      <c r="L37" s="956"/>
      <c r="M37" s="956"/>
      <c r="N37" s="956"/>
      <c r="O37" s="996">
        <f t="shared" ref="O37:O48" si="17">O36</f>
        <v>120</v>
      </c>
      <c r="P37" s="956"/>
      <c r="Q37" s="956"/>
      <c r="R37" s="956"/>
      <c r="S37" s="996" t="s">
        <v>127</v>
      </c>
      <c r="T37" s="957"/>
      <c r="U37" s="957"/>
      <c r="V37" s="958"/>
      <c r="X37" s="1033">
        <f t="shared" si="12"/>
        <v>0.96859456826853296</v>
      </c>
      <c r="Y37" s="968">
        <f>'Spotřeby 2019-2022'!J18</f>
        <v>6452.6482026143794</v>
      </c>
      <c r="Z37" s="1032">
        <f t="shared" si="13"/>
        <v>8070</v>
      </c>
    </row>
    <row r="38" spans="2:29" ht="15">
      <c r="B38" s="952">
        <f t="shared" si="14"/>
        <v>5</v>
      </c>
      <c r="C38" s="953" t="str">
        <f t="shared" si="14"/>
        <v>ZŠ Kosmonautů</v>
      </c>
      <c r="D38" s="954"/>
      <c r="E38" s="955"/>
      <c r="F38" s="956"/>
      <c r="G38" s="996">
        <f t="shared" si="15"/>
        <v>1250</v>
      </c>
      <c r="H38" s="956"/>
      <c r="I38" s="956"/>
      <c r="J38" s="956"/>
      <c r="K38" s="996">
        <f t="shared" si="16"/>
        <v>6250</v>
      </c>
      <c r="L38" s="956"/>
      <c r="M38" s="956"/>
      <c r="N38" s="956"/>
      <c r="O38" s="996">
        <f t="shared" si="17"/>
        <v>120</v>
      </c>
      <c r="P38" s="956"/>
      <c r="Q38" s="956"/>
      <c r="R38" s="956"/>
      <c r="S38" s="996" t="s">
        <v>127</v>
      </c>
      <c r="T38" s="957"/>
      <c r="U38" s="957"/>
      <c r="V38" s="958"/>
      <c r="X38" s="1033">
        <f t="shared" si="12"/>
        <v>1.1043218142306239</v>
      </c>
      <c r="Y38" s="968">
        <f>'Spotřeby 2019-2022'!J22</f>
        <v>5659.5821249391392</v>
      </c>
      <c r="Z38" s="1032">
        <f t="shared" si="13"/>
        <v>7070</v>
      </c>
    </row>
    <row r="39" spans="2:29" ht="15">
      <c r="B39" s="952">
        <f t="shared" si="14"/>
        <v>6</v>
      </c>
      <c r="C39" s="953" t="str">
        <f t="shared" si="14"/>
        <v>MŠ Kosmonautů</v>
      </c>
      <c r="D39" s="954"/>
      <c r="E39" s="955"/>
      <c r="F39" s="956"/>
      <c r="G39" s="996">
        <f t="shared" si="15"/>
        <v>1250</v>
      </c>
      <c r="H39" s="956"/>
      <c r="I39" s="956"/>
      <c r="J39" s="956"/>
      <c r="K39" s="996">
        <f t="shared" si="16"/>
        <v>6250</v>
      </c>
      <c r="L39" s="956"/>
      <c r="M39" s="956"/>
      <c r="N39" s="956"/>
      <c r="O39" s="996">
        <f t="shared" si="17"/>
        <v>120</v>
      </c>
      <c r="P39" s="956"/>
      <c r="Q39" s="956"/>
      <c r="R39" s="956"/>
      <c r="S39" s="996" t="s">
        <v>127</v>
      </c>
      <c r="T39" s="957"/>
      <c r="U39" s="957"/>
      <c r="V39" s="958"/>
      <c r="X39" s="1033">
        <f t="shared" si="12"/>
        <v>0.9956766265299043</v>
      </c>
      <c r="Y39" s="968">
        <f>'Spotřeby 2019-2022'!J26</f>
        <v>6277.1384136858478</v>
      </c>
      <c r="Z39" s="1032">
        <f t="shared" si="13"/>
        <v>7850</v>
      </c>
    </row>
    <row r="40" spans="2:29" ht="15">
      <c r="B40" s="952">
        <f t="shared" si="14"/>
        <v>7</v>
      </c>
      <c r="C40" s="953" t="str">
        <f t="shared" si="14"/>
        <v>ŠJ Sládkova</v>
      </c>
      <c r="D40" s="954"/>
      <c r="E40" s="955"/>
      <c r="F40" s="956"/>
      <c r="G40" s="996">
        <f t="shared" si="15"/>
        <v>1250</v>
      </c>
      <c r="H40" s="956"/>
      <c r="I40" s="956"/>
      <c r="J40" s="956"/>
      <c r="K40" s="996">
        <f t="shared" si="16"/>
        <v>6250</v>
      </c>
      <c r="L40" s="956"/>
      <c r="M40" s="956"/>
      <c r="N40" s="956"/>
      <c r="O40" s="996">
        <f t="shared" si="17"/>
        <v>120</v>
      </c>
      <c r="P40" s="956"/>
      <c r="Q40" s="956"/>
      <c r="R40" s="956"/>
      <c r="S40" s="996" t="s">
        <v>127</v>
      </c>
      <c r="T40" s="957"/>
      <c r="U40" s="957"/>
      <c r="V40" s="958"/>
      <c r="X40" s="1033">
        <f t="shared" si="12"/>
        <v>1.1860229684179782</v>
      </c>
      <c r="Y40" s="968">
        <f>'Spotřeby 2019-2022'!J30</f>
        <v>5269.7124477587477</v>
      </c>
      <c r="Z40" s="1032">
        <f t="shared" si="13"/>
        <v>6590</v>
      </c>
    </row>
    <row r="41" spans="2:29" ht="15">
      <c r="B41" s="952">
        <f t="shared" si="14"/>
        <v>8</v>
      </c>
      <c r="C41" s="953" t="str">
        <f t="shared" si="14"/>
        <v>Městské divadlo</v>
      </c>
      <c r="D41" s="954"/>
      <c r="E41" s="955"/>
      <c r="F41" s="956"/>
      <c r="G41" s="996">
        <f t="shared" si="15"/>
        <v>1250</v>
      </c>
      <c r="H41" s="956"/>
      <c r="I41" s="956"/>
      <c r="J41" s="956"/>
      <c r="K41" s="996">
        <f t="shared" si="16"/>
        <v>6250</v>
      </c>
      <c r="L41" s="956"/>
      <c r="M41" s="956"/>
      <c r="N41" s="956"/>
      <c r="O41" s="996">
        <f t="shared" si="17"/>
        <v>120</v>
      </c>
      <c r="P41" s="956"/>
      <c r="Q41" s="956"/>
      <c r="R41" s="956"/>
      <c r="S41" s="996" t="s">
        <v>127</v>
      </c>
      <c r="T41" s="957"/>
      <c r="U41" s="957"/>
      <c r="V41" s="958"/>
      <c r="X41" s="1033">
        <f t="shared" si="12"/>
        <v>1.3846605820817108</v>
      </c>
      <c r="Y41" s="968">
        <f>'Spotřeby 2019-2022'!J34</f>
        <v>4513.7415485632555</v>
      </c>
      <c r="Z41" s="1032">
        <f t="shared" si="13"/>
        <v>5640</v>
      </c>
    </row>
    <row r="42" spans="2:29" ht="15">
      <c r="B42" s="952">
        <f t="shared" si="14"/>
        <v>9</v>
      </c>
      <c r="C42" s="953" t="str">
        <f t="shared" si="14"/>
        <v>ZŠ Vojanova</v>
      </c>
      <c r="D42" s="954"/>
      <c r="E42" s="955"/>
      <c r="F42" s="956"/>
      <c r="G42" s="996">
        <v>1070</v>
      </c>
      <c r="H42" s="956"/>
      <c r="I42" s="956"/>
      <c r="J42" s="956"/>
      <c r="K42" s="996">
        <f t="shared" si="16"/>
        <v>6250</v>
      </c>
      <c r="L42" s="956"/>
      <c r="M42" s="956"/>
      <c r="N42" s="956"/>
      <c r="O42" s="996">
        <f t="shared" si="17"/>
        <v>120</v>
      </c>
      <c r="P42" s="956"/>
      <c r="Q42" s="956"/>
      <c r="R42" s="956"/>
      <c r="S42" s="996" t="s">
        <v>127</v>
      </c>
      <c r="T42" s="957"/>
      <c r="U42" s="957"/>
      <c r="V42" s="958"/>
      <c r="X42" s="1033">
        <f t="shared" si="12"/>
        <v>1.1847151043193074</v>
      </c>
      <c r="Y42" s="968">
        <f>'Spotřeby 2019-2022'!J38</f>
        <v>5275.5299372932486</v>
      </c>
      <c r="Z42" s="1032">
        <f t="shared" si="13"/>
        <v>6590</v>
      </c>
    </row>
    <row r="43" spans="2:29" ht="15">
      <c r="B43" s="952">
        <f t="shared" si="14"/>
        <v>10</v>
      </c>
      <c r="C43" s="953" t="str">
        <f t="shared" si="14"/>
        <v>MŠ Riegrova</v>
      </c>
      <c r="D43" s="954"/>
      <c r="E43" s="955"/>
      <c r="F43" s="956"/>
      <c r="G43" s="996">
        <f>G41</f>
        <v>1250</v>
      </c>
      <c r="H43" s="956"/>
      <c r="I43" s="956"/>
      <c r="J43" s="956"/>
      <c r="K43" s="996">
        <f t="shared" si="16"/>
        <v>6250</v>
      </c>
      <c r="L43" s="956"/>
      <c r="M43" s="956"/>
      <c r="N43" s="956"/>
      <c r="O43" s="996">
        <f t="shared" si="17"/>
        <v>120</v>
      </c>
      <c r="P43" s="956"/>
      <c r="Q43" s="956"/>
      <c r="R43" s="956"/>
      <c r="S43" s="996" t="s">
        <v>127</v>
      </c>
      <c r="T43" s="957"/>
      <c r="U43" s="957"/>
      <c r="V43" s="958"/>
      <c r="X43" s="1033">
        <f t="shared" si="12"/>
        <v>1.2900285412005799</v>
      </c>
      <c r="Y43" s="968">
        <f>'Spotřeby 2019-2022'!J42</f>
        <v>4844.8540480998709</v>
      </c>
      <c r="Z43" s="1032">
        <f t="shared" si="13"/>
        <v>6060</v>
      </c>
    </row>
    <row r="44" spans="2:29" ht="15">
      <c r="B44" s="952">
        <f t="shared" si="14"/>
        <v>11</v>
      </c>
      <c r="C44" s="953" t="str">
        <f t="shared" si="14"/>
        <v>ZŠ Míru</v>
      </c>
      <c r="D44" s="954"/>
      <c r="E44" s="955"/>
      <c r="F44" s="956"/>
      <c r="G44" s="996">
        <f t="shared" si="15"/>
        <v>1250</v>
      </c>
      <c r="H44" s="956"/>
      <c r="I44" s="956"/>
      <c r="J44" s="956"/>
      <c r="K44" s="996">
        <f t="shared" si="16"/>
        <v>6250</v>
      </c>
      <c r="L44" s="956"/>
      <c r="M44" s="956"/>
      <c r="N44" s="956"/>
      <c r="O44" s="996">
        <f t="shared" si="17"/>
        <v>120</v>
      </c>
      <c r="P44" s="956"/>
      <c r="Q44" s="956"/>
      <c r="R44" s="956"/>
      <c r="S44" s="996" t="s">
        <v>127</v>
      </c>
      <c r="T44" s="957"/>
      <c r="U44" s="957"/>
      <c r="V44" s="958"/>
      <c r="X44" s="1033">
        <f t="shared" si="12"/>
        <v>1.0473242973571288</v>
      </c>
      <c r="Y44" s="968">
        <f>'Spotřeby 2019-2022'!J46</f>
        <v>5967.5880868720096</v>
      </c>
      <c r="Z44" s="1032">
        <f t="shared" si="13"/>
        <v>7460</v>
      </c>
    </row>
    <row r="45" spans="2:29" ht="15">
      <c r="B45" s="952">
        <f t="shared" si="14"/>
        <v>12</v>
      </c>
      <c r="C45" s="953" t="str">
        <f t="shared" si="14"/>
        <v>Městská knihovna</v>
      </c>
      <c r="D45" s="954"/>
      <c r="E45" s="955"/>
      <c r="F45" s="956"/>
      <c r="G45" s="996">
        <f t="shared" si="15"/>
        <v>1250</v>
      </c>
      <c r="H45" s="956"/>
      <c r="I45" s="956"/>
      <c r="J45" s="956"/>
      <c r="K45" s="996">
        <v>5000</v>
      </c>
      <c r="L45" s="956"/>
      <c r="M45" s="956"/>
      <c r="N45" s="956"/>
      <c r="O45" s="996">
        <f t="shared" si="17"/>
        <v>120</v>
      </c>
      <c r="P45" s="956"/>
      <c r="Q45" s="956"/>
      <c r="R45" s="956"/>
      <c r="S45" s="996" t="s">
        <v>127</v>
      </c>
      <c r="T45" s="957"/>
      <c r="U45" s="957"/>
      <c r="V45" s="958"/>
      <c r="X45" s="1033">
        <f t="shared" si="12"/>
        <v>1.3792693322276213</v>
      </c>
      <c r="Y45" s="1036">
        <f>'Spotřeby 2019-2022'!J50</f>
        <v>3625.1077894443088</v>
      </c>
      <c r="Z45" s="1035">
        <f>ROUND(Y45*(1+$Z$33),-1)</f>
        <v>4530</v>
      </c>
      <c r="AC45" s="892" t="s">
        <v>316</v>
      </c>
    </row>
    <row r="46" spans="2:29" ht="15">
      <c r="B46" s="952">
        <f t="shared" si="14"/>
        <v>13</v>
      </c>
      <c r="C46" s="953" t="str">
        <f t="shared" si="14"/>
        <v>Kino</v>
      </c>
      <c r="D46" s="954"/>
      <c r="E46" s="955"/>
      <c r="F46" s="956"/>
      <c r="G46" s="996">
        <f t="shared" si="15"/>
        <v>1250</v>
      </c>
      <c r="H46" s="956"/>
      <c r="I46" s="956"/>
      <c r="J46" s="956"/>
      <c r="K46" s="996">
        <f>K44</f>
        <v>6250</v>
      </c>
      <c r="L46" s="956"/>
      <c r="M46" s="956"/>
      <c r="N46" s="956"/>
      <c r="O46" s="996">
        <f t="shared" si="17"/>
        <v>120</v>
      </c>
      <c r="P46" s="956"/>
      <c r="Q46" s="956"/>
      <c r="R46" s="956"/>
      <c r="S46" s="996" t="s">
        <v>127</v>
      </c>
      <c r="T46" s="957"/>
      <c r="U46" s="957"/>
      <c r="V46" s="958"/>
      <c r="X46" s="1033">
        <f t="shared" si="12"/>
        <v>1.4211307759537832</v>
      </c>
      <c r="Y46" s="968">
        <f>'Spotřeby 2019-2022'!J54</f>
        <v>4397.9063051430649</v>
      </c>
      <c r="Z46" s="1032">
        <f t="shared" si="13"/>
        <v>5500</v>
      </c>
    </row>
    <row r="47" spans="2:29" ht="15">
      <c r="B47" s="952">
        <f t="shared" si="14"/>
        <v>14</v>
      </c>
      <c r="C47" s="953" t="str">
        <f t="shared" si="14"/>
        <v>Magistrát B1+B2</v>
      </c>
      <c r="D47" s="954"/>
      <c r="E47" s="955"/>
      <c r="F47" s="956"/>
      <c r="G47" s="996">
        <f t="shared" si="15"/>
        <v>1250</v>
      </c>
      <c r="H47" s="956"/>
      <c r="I47" s="956"/>
      <c r="J47" s="956"/>
      <c r="K47" s="996">
        <f t="shared" si="16"/>
        <v>6250</v>
      </c>
      <c r="L47" s="956"/>
      <c r="M47" s="956"/>
      <c r="N47" s="956"/>
      <c r="O47" s="996">
        <f t="shared" si="17"/>
        <v>120</v>
      </c>
      <c r="P47" s="956"/>
      <c r="Q47" s="956"/>
      <c r="R47" s="956"/>
      <c r="S47" s="996" t="s">
        <v>127</v>
      </c>
      <c r="T47" s="957"/>
      <c r="U47" s="957"/>
      <c r="V47" s="958"/>
      <c r="X47" s="1033">
        <f t="shared" si="12"/>
        <v>1.3280425141662868</v>
      </c>
      <c r="Y47" s="968">
        <f>'Spotřeby 2019-2022'!J58</f>
        <v>4706.1746392385639</v>
      </c>
      <c r="Z47" s="1032">
        <f t="shared" si="13"/>
        <v>5880</v>
      </c>
    </row>
    <row r="48" spans="2:29" ht="15">
      <c r="B48" s="952">
        <f t="shared" si="14"/>
        <v>15</v>
      </c>
      <c r="C48" s="953" t="str">
        <f t="shared" si="14"/>
        <v>Zimní stadion</v>
      </c>
      <c r="D48" s="954"/>
      <c r="E48" s="955"/>
      <c r="F48" s="956"/>
      <c r="G48" s="996">
        <f t="shared" si="15"/>
        <v>1250</v>
      </c>
      <c r="H48" s="956"/>
      <c r="I48" s="956"/>
      <c r="J48" s="956"/>
      <c r="K48" s="996">
        <v>5000</v>
      </c>
      <c r="L48" s="956"/>
      <c r="M48" s="956"/>
      <c r="N48" s="956"/>
      <c r="O48" s="996">
        <f t="shared" si="17"/>
        <v>120</v>
      </c>
      <c r="P48" s="956"/>
      <c r="Q48" s="956"/>
      <c r="R48" s="956"/>
      <c r="S48" s="996" t="s">
        <v>127</v>
      </c>
      <c r="T48" s="957"/>
      <c r="U48" s="957"/>
      <c r="V48" s="958"/>
      <c r="X48" s="1033">
        <f t="shared" si="12"/>
        <v>1.6646792191712634</v>
      </c>
      <c r="Y48" s="1036">
        <f>'Spotřeby 2019-2022'!J62</f>
        <v>3003.5816765281529</v>
      </c>
      <c r="Z48" s="1035">
        <f>ROUND(Y48*(1+$Z$33),-1)</f>
        <v>3750</v>
      </c>
      <c r="AC48" s="892" t="s">
        <v>316</v>
      </c>
    </row>
    <row r="49" spans="2:29" ht="15">
      <c r="B49" s="952">
        <f t="shared" si="14"/>
        <v>16</v>
      </c>
      <c r="C49" s="953" t="str">
        <f t="shared" si="14"/>
        <v>Aquapark</v>
      </c>
      <c r="D49" s="954"/>
      <c r="E49" s="955"/>
      <c r="F49" s="956"/>
      <c r="G49" s="996" t="s">
        <v>127</v>
      </c>
      <c r="H49" s="956"/>
      <c r="I49" s="956"/>
      <c r="J49" s="956"/>
      <c r="K49" s="996">
        <f t="shared" si="16"/>
        <v>5000</v>
      </c>
      <c r="L49" s="956"/>
      <c r="M49" s="956"/>
      <c r="N49" s="956"/>
      <c r="O49" s="996">
        <f>O48</f>
        <v>120</v>
      </c>
      <c r="P49" s="956"/>
      <c r="Q49" s="956"/>
      <c r="R49" s="956"/>
      <c r="S49" s="996">
        <v>4</v>
      </c>
      <c r="T49" s="957"/>
      <c r="U49" s="957"/>
      <c r="V49" s="958"/>
      <c r="X49" s="1033">
        <f t="shared" si="12"/>
        <v>2.0241262130926625</v>
      </c>
      <c r="Y49" s="1036">
        <f>'Spotřeby 2019-2022'!J66</f>
        <v>2470.2016937770395</v>
      </c>
      <c r="Z49" s="1035">
        <f>ROUND(Y49*(1+$Z$33),-1)</f>
        <v>3090</v>
      </c>
      <c r="AC49" s="892" t="s">
        <v>316</v>
      </c>
    </row>
    <row r="50" spans="2:29" ht="15">
      <c r="B50" s="944"/>
      <c r="C50" s="937"/>
      <c r="D50" s="939"/>
      <c r="E50" s="959"/>
      <c r="F50" s="959"/>
      <c r="G50" s="960"/>
      <c r="H50" s="959"/>
      <c r="I50" s="959"/>
      <c r="J50" s="959"/>
      <c r="K50" s="960"/>
      <c r="L50" s="959"/>
      <c r="M50" s="959"/>
      <c r="N50" s="959"/>
      <c r="O50" s="960"/>
      <c r="P50" s="959"/>
      <c r="Q50" s="959"/>
      <c r="R50" s="959"/>
      <c r="S50" s="960"/>
      <c r="T50" s="961"/>
      <c r="U50" s="962"/>
      <c r="V50" s="961"/>
    </row>
    <row r="51" spans="2:29">
      <c r="G51" s="963"/>
      <c r="K51" s="963"/>
      <c r="O51" s="963"/>
      <c r="S51" s="963"/>
    </row>
    <row r="52" spans="2:29">
      <c r="B52" s="964"/>
    </row>
    <row r="53" spans="2:29" ht="15.75">
      <c r="B53" s="964"/>
      <c r="C53" s="897" t="s">
        <v>282</v>
      </c>
    </row>
    <row r="54" spans="2:29" ht="15">
      <c r="B54" s="965"/>
      <c r="C54" s="966"/>
      <c r="D54" s="967" t="s">
        <v>283</v>
      </c>
      <c r="J54" s="968"/>
    </row>
    <row r="55" spans="2:29">
      <c r="C55" s="963" t="s">
        <v>284</v>
      </c>
      <c r="D55" s="969" t="s">
        <v>285</v>
      </c>
      <c r="E55" s="970"/>
      <c r="J55" s="968"/>
    </row>
    <row r="56" spans="2:29">
      <c r="C56" s="963" t="s">
        <v>286</v>
      </c>
      <c r="D56" s="971">
        <v>20</v>
      </c>
      <c r="E56" s="971" t="s">
        <v>287</v>
      </c>
      <c r="J56" s="968"/>
    </row>
    <row r="57" spans="2:29">
      <c r="J57" s="968"/>
    </row>
    <row r="58" spans="2:29">
      <c r="C58" s="972" t="s">
        <v>288</v>
      </c>
      <c r="D58" s="973" t="s">
        <v>289</v>
      </c>
      <c r="E58" s="973" t="s">
        <v>290</v>
      </c>
      <c r="F58" s="974" t="s">
        <v>240</v>
      </c>
      <c r="G58" s="974" t="s">
        <v>291</v>
      </c>
      <c r="J58" s="968"/>
    </row>
    <row r="59" spans="2:29">
      <c r="C59" s="975" t="s">
        <v>292</v>
      </c>
      <c r="D59" s="976">
        <v>1.5</v>
      </c>
      <c r="E59" s="977">
        <v>31</v>
      </c>
      <c r="F59" s="978">
        <f t="shared" ref="F59:F70" si="18">E59*($D$56-D59)</f>
        <v>573.5</v>
      </c>
      <c r="G59" s="979">
        <f t="shared" ref="G59:G70" si="19">IF(F59=0,0,F59/$F$71)</f>
        <v>0.16929389538316211</v>
      </c>
      <c r="J59" s="968"/>
    </row>
    <row r="60" spans="2:29">
      <c r="C60" s="975" t="s">
        <v>293</v>
      </c>
      <c r="D60" s="976">
        <v>3.3</v>
      </c>
      <c r="E60" s="977">
        <v>28</v>
      </c>
      <c r="F60" s="980">
        <f t="shared" si="18"/>
        <v>467.59999999999997</v>
      </c>
      <c r="G60" s="981">
        <f t="shared" si="19"/>
        <v>0.13803282559924429</v>
      </c>
      <c r="J60" s="968"/>
    </row>
    <row r="61" spans="2:29">
      <c r="C61" s="975" t="s">
        <v>294</v>
      </c>
      <c r="D61" s="976">
        <v>4.8</v>
      </c>
      <c r="E61" s="977">
        <v>31</v>
      </c>
      <c r="F61" s="980">
        <f t="shared" si="18"/>
        <v>471.2</v>
      </c>
      <c r="G61" s="981">
        <f t="shared" si="19"/>
        <v>0.13909552485535481</v>
      </c>
    </row>
    <row r="62" spans="2:29">
      <c r="C62" s="975" t="s">
        <v>295</v>
      </c>
      <c r="D62" s="976">
        <v>7.2</v>
      </c>
      <c r="E62" s="977">
        <v>30</v>
      </c>
      <c r="F62" s="980">
        <f t="shared" si="18"/>
        <v>384</v>
      </c>
      <c r="G62" s="981">
        <f t="shared" si="19"/>
        <v>0.11335458731845555</v>
      </c>
      <c r="J62" s="982"/>
    </row>
    <row r="63" spans="2:29">
      <c r="C63" s="975" t="s">
        <v>296</v>
      </c>
      <c r="D63" s="976">
        <v>15.1</v>
      </c>
      <c r="E63" s="977">
        <v>6</v>
      </c>
      <c r="F63" s="980">
        <f t="shared" si="18"/>
        <v>29.400000000000002</v>
      </c>
      <c r="G63" s="981">
        <f t="shared" si="19"/>
        <v>8.6787105915692529E-3</v>
      </c>
    </row>
    <row r="64" spans="2:29">
      <c r="C64" s="975" t="s">
        <v>297</v>
      </c>
      <c r="D64" s="983">
        <v>19.2</v>
      </c>
      <c r="E64" s="977">
        <v>0</v>
      </c>
      <c r="F64" s="980">
        <f t="shared" si="18"/>
        <v>0</v>
      </c>
      <c r="G64" s="981">
        <f t="shared" si="19"/>
        <v>0</v>
      </c>
      <c r="J64" s="968"/>
    </row>
    <row r="65" spans="3:10">
      <c r="C65" s="975" t="s">
        <v>298</v>
      </c>
      <c r="D65" s="983">
        <v>19.3</v>
      </c>
      <c r="E65" s="977">
        <v>0</v>
      </c>
      <c r="F65" s="980">
        <f t="shared" si="18"/>
        <v>0</v>
      </c>
      <c r="G65" s="981">
        <f t="shared" si="19"/>
        <v>0</v>
      </c>
    </row>
    <row r="66" spans="3:10">
      <c r="C66" s="975" t="s">
        <v>299</v>
      </c>
      <c r="D66" s="983">
        <v>20.399999999999999</v>
      </c>
      <c r="E66" s="977">
        <v>0</v>
      </c>
      <c r="F66" s="980">
        <f t="shared" si="18"/>
        <v>0</v>
      </c>
      <c r="G66" s="981">
        <f t="shared" si="19"/>
        <v>0</v>
      </c>
      <c r="J66" s="968"/>
    </row>
    <row r="67" spans="3:10">
      <c r="C67" s="975" t="s">
        <v>300</v>
      </c>
      <c r="D67" s="976">
        <v>12.9</v>
      </c>
      <c r="E67" s="977">
        <v>13</v>
      </c>
      <c r="F67" s="980">
        <f t="shared" si="18"/>
        <v>92.3</v>
      </c>
      <c r="G67" s="981">
        <f t="shared" si="19"/>
        <v>2.7246428149722519E-2</v>
      </c>
      <c r="J67" s="968"/>
    </row>
    <row r="68" spans="3:10">
      <c r="C68" s="975" t="s">
        <v>301</v>
      </c>
      <c r="D68" s="976">
        <v>10.7</v>
      </c>
      <c r="E68" s="977">
        <v>30</v>
      </c>
      <c r="F68" s="980">
        <f t="shared" si="18"/>
        <v>279</v>
      </c>
      <c r="G68" s="981">
        <f t="shared" si="19"/>
        <v>8.2359192348565355E-2</v>
      </c>
    </row>
    <row r="69" spans="3:10">
      <c r="C69" s="975" t="s">
        <v>302</v>
      </c>
      <c r="D69" s="976">
        <v>3.9</v>
      </c>
      <c r="E69" s="977">
        <v>30</v>
      </c>
      <c r="F69" s="980">
        <f t="shared" si="18"/>
        <v>483.00000000000006</v>
      </c>
      <c r="G69" s="981">
        <f t="shared" si="19"/>
        <v>0.14257881686149487</v>
      </c>
    </row>
    <row r="70" spans="3:10">
      <c r="C70" s="984" t="s">
        <v>303</v>
      </c>
      <c r="D70" s="985">
        <v>0.4</v>
      </c>
      <c r="E70" s="986">
        <v>31</v>
      </c>
      <c r="F70" s="987">
        <f t="shared" si="18"/>
        <v>607.6</v>
      </c>
      <c r="G70" s="988">
        <f t="shared" si="19"/>
        <v>0.17936001889243122</v>
      </c>
    </row>
    <row r="71" spans="3:10" ht="15">
      <c r="D71" s="989">
        <f>SUMPRODUCT(D59:D70,E59:E70)/E71</f>
        <v>5.2713043478260877</v>
      </c>
      <c r="E71" s="990">
        <f t="shared" ref="E71" si="20">SUM(E59:E70)</f>
        <v>230</v>
      </c>
      <c r="F71" s="991">
        <f>SUM(F59:F70)</f>
        <v>3387.6</v>
      </c>
      <c r="G71" s="992">
        <f>SUM(G59:G70)</f>
        <v>1</v>
      </c>
    </row>
    <row r="72" spans="3:10">
      <c r="C72" s="993" t="s">
        <v>304</v>
      </c>
    </row>
  </sheetData>
  <mergeCells count="11">
    <mergeCell ref="X9:Y10"/>
    <mergeCell ref="F10:G10"/>
    <mergeCell ref="J10:K10"/>
    <mergeCell ref="N10:O10"/>
    <mergeCell ref="U10:V10"/>
    <mergeCell ref="Q9:S9"/>
    <mergeCell ref="R10:S10"/>
    <mergeCell ref="E9:G9"/>
    <mergeCell ref="I9:K9"/>
    <mergeCell ref="M9:O9"/>
    <mergeCell ref="U9:V9"/>
  </mergeCells>
  <conditionalFormatting sqref="E14:F14 E29:F29 I14:I29">
    <cfRule type="cellIs" dxfId="107" priority="151" operator="equal">
      <formula>0</formula>
    </cfRule>
  </conditionalFormatting>
  <conditionalFormatting sqref="G13:G29">
    <cfRule type="cellIs" dxfId="106" priority="149" operator="equal">
      <formula>0</formula>
    </cfRule>
  </conditionalFormatting>
  <conditionalFormatting sqref="H14 H29">
    <cfRule type="cellIs" dxfId="105" priority="150" operator="equal">
      <formula>0</formula>
    </cfRule>
  </conditionalFormatting>
  <conditionalFormatting sqref="J13:K14 J29 K15:K29">
    <cfRule type="cellIs" dxfId="104" priority="146" operator="equal">
      <formula>0</formula>
    </cfRule>
  </conditionalFormatting>
  <conditionalFormatting sqref="L14:M14 T14:V14 T29:V29 L29:M29">
    <cfRule type="cellIs" dxfId="103" priority="153" operator="equal">
      <formula>0</formula>
    </cfRule>
  </conditionalFormatting>
  <conditionalFormatting sqref="N13:O14 N29 O15:O29">
    <cfRule type="cellIs" dxfId="102" priority="145" operator="equal">
      <formula>0</formula>
    </cfRule>
  </conditionalFormatting>
  <conditionalFormatting sqref="X13:Y29">
    <cfRule type="cellIs" dxfId="101" priority="148" operator="equal">
      <formula>0</formula>
    </cfRule>
  </conditionalFormatting>
  <conditionalFormatting sqref="E15:F15">
    <cfRule type="cellIs" dxfId="100" priority="142" operator="equal">
      <formula>0</formula>
    </cfRule>
  </conditionalFormatting>
  <conditionalFormatting sqref="H15">
    <cfRule type="cellIs" dxfId="99" priority="141" operator="equal">
      <formula>0</formula>
    </cfRule>
  </conditionalFormatting>
  <conditionalFormatting sqref="J15">
    <cfRule type="cellIs" dxfId="98" priority="138" operator="equal">
      <formula>0</formula>
    </cfRule>
  </conditionalFormatting>
  <conditionalFormatting sqref="L15:M15 T15:V15">
    <cfRule type="cellIs" dxfId="97" priority="144" operator="equal">
      <formula>0</formula>
    </cfRule>
  </conditionalFormatting>
  <conditionalFormatting sqref="N15">
    <cfRule type="cellIs" dxfId="96" priority="137" operator="equal">
      <formula>0</formula>
    </cfRule>
  </conditionalFormatting>
  <conditionalFormatting sqref="E16:F16">
    <cfRule type="cellIs" dxfId="95" priority="134" operator="equal">
      <formula>0</formula>
    </cfRule>
  </conditionalFormatting>
  <conditionalFormatting sqref="H16">
    <cfRule type="cellIs" dxfId="94" priority="133" operator="equal">
      <formula>0</formula>
    </cfRule>
  </conditionalFormatting>
  <conditionalFormatting sqref="J16">
    <cfRule type="cellIs" dxfId="93" priority="130" operator="equal">
      <formula>0</formula>
    </cfRule>
  </conditionalFormatting>
  <conditionalFormatting sqref="L16:M16 T16:V16">
    <cfRule type="cellIs" dxfId="92" priority="136" operator="equal">
      <formula>0</formula>
    </cfRule>
  </conditionalFormatting>
  <conditionalFormatting sqref="N16">
    <cfRule type="cellIs" dxfId="91" priority="129" operator="equal">
      <formula>0</formula>
    </cfRule>
  </conditionalFormatting>
  <conditionalFormatting sqref="E17:F17">
    <cfRule type="cellIs" dxfId="90" priority="126" operator="equal">
      <formula>0</formula>
    </cfRule>
  </conditionalFormatting>
  <conditionalFormatting sqref="H17">
    <cfRule type="cellIs" dxfId="89" priority="125" operator="equal">
      <formula>0</formula>
    </cfRule>
  </conditionalFormatting>
  <conditionalFormatting sqref="J17">
    <cfRule type="cellIs" dxfId="88" priority="122" operator="equal">
      <formula>0</formula>
    </cfRule>
  </conditionalFormatting>
  <conditionalFormatting sqref="L17:M17 T17:V17">
    <cfRule type="cellIs" dxfId="87" priority="128" operator="equal">
      <formula>0</formula>
    </cfRule>
  </conditionalFormatting>
  <conditionalFormatting sqref="N17">
    <cfRule type="cellIs" dxfId="86" priority="121" operator="equal">
      <formula>0</formula>
    </cfRule>
  </conditionalFormatting>
  <conditionalFormatting sqref="E18:F18">
    <cfRule type="cellIs" dxfId="85" priority="118" operator="equal">
      <formula>0</formula>
    </cfRule>
  </conditionalFormatting>
  <conditionalFormatting sqref="H18">
    <cfRule type="cellIs" dxfId="84" priority="117" operator="equal">
      <formula>0</formula>
    </cfRule>
  </conditionalFormatting>
  <conditionalFormatting sqref="J18">
    <cfRule type="cellIs" dxfId="83" priority="114" operator="equal">
      <formula>0</formula>
    </cfRule>
  </conditionalFormatting>
  <conditionalFormatting sqref="L18:M18 T18:V18">
    <cfRule type="cellIs" dxfId="82" priority="120" operator="equal">
      <formula>0</formula>
    </cfRule>
  </conditionalFormatting>
  <conditionalFormatting sqref="N18">
    <cfRule type="cellIs" dxfId="81" priority="113" operator="equal">
      <formula>0</formula>
    </cfRule>
  </conditionalFormatting>
  <conditionalFormatting sqref="E19:F19">
    <cfRule type="cellIs" dxfId="80" priority="110" operator="equal">
      <formula>0</formula>
    </cfRule>
  </conditionalFormatting>
  <conditionalFormatting sqref="H19">
    <cfRule type="cellIs" dxfId="79" priority="109" operator="equal">
      <formula>0</formula>
    </cfRule>
  </conditionalFormatting>
  <conditionalFormatting sqref="J19">
    <cfRule type="cellIs" dxfId="78" priority="106" operator="equal">
      <formula>0</formula>
    </cfRule>
  </conditionalFormatting>
  <conditionalFormatting sqref="L19:M19 T19:V19">
    <cfRule type="cellIs" dxfId="77" priority="112" operator="equal">
      <formula>0</formula>
    </cfRule>
  </conditionalFormatting>
  <conditionalFormatting sqref="N19">
    <cfRule type="cellIs" dxfId="76" priority="105" operator="equal">
      <formula>0</formula>
    </cfRule>
  </conditionalFormatting>
  <conditionalFormatting sqref="E20:F20">
    <cfRule type="cellIs" dxfId="75" priority="102" operator="equal">
      <formula>0</formula>
    </cfRule>
  </conditionalFormatting>
  <conditionalFormatting sqref="H20">
    <cfRule type="cellIs" dxfId="74" priority="101" operator="equal">
      <formula>0</formula>
    </cfRule>
  </conditionalFormatting>
  <conditionalFormatting sqref="J20">
    <cfRule type="cellIs" dxfId="73" priority="98" operator="equal">
      <formula>0</formula>
    </cfRule>
  </conditionalFormatting>
  <conditionalFormatting sqref="L20:M20 T20:V20">
    <cfRule type="cellIs" dxfId="72" priority="104" operator="equal">
      <formula>0</formula>
    </cfRule>
  </conditionalFormatting>
  <conditionalFormatting sqref="N20">
    <cfRule type="cellIs" dxfId="71" priority="97" operator="equal">
      <formula>0</formula>
    </cfRule>
  </conditionalFormatting>
  <conditionalFormatting sqref="E21:F21">
    <cfRule type="cellIs" dxfId="70" priority="94" operator="equal">
      <formula>0</formula>
    </cfRule>
  </conditionalFormatting>
  <conditionalFormatting sqref="H21">
    <cfRule type="cellIs" dxfId="69" priority="93" operator="equal">
      <formula>0</formula>
    </cfRule>
  </conditionalFormatting>
  <conditionalFormatting sqref="J21">
    <cfRule type="cellIs" dxfId="68" priority="90" operator="equal">
      <formula>0</formula>
    </cfRule>
  </conditionalFormatting>
  <conditionalFormatting sqref="L21:M21 T21:V21">
    <cfRule type="cellIs" dxfId="67" priority="96" operator="equal">
      <formula>0</formula>
    </cfRule>
  </conditionalFormatting>
  <conditionalFormatting sqref="N21">
    <cfRule type="cellIs" dxfId="66" priority="89" operator="equal">
      <formula>0</formula>
    </cfRule>
  </conditionalFormatting>
  <conditionalFormatting sqref="E22:F22">
    <cfRule type="cellIs" dxfId="65" priority="86" operator="equal">
      <formula>0</formula>
    </cfRule>
  </conditionalFormatting>
  <conditionalFormatting sqref="H22">
    <cfRule type="cellIs" dxfId="64" priority="85" operator="equal">
      <formula>0</formula>
    </cfRule>
  </conditionalFormatting>
  <conditionalFormatting sqref="J22">
    <cfRule type="cellIs" dxfId="63" priority="82" operator="equal">
      <formula>0</formula>
    </cfRule>
  </conditionalFormatting>
  <conditionalFormatting sqref="L22:M22 T22:V22">
    <cfRule type="cellIs" dxfId="62" priority="88" operator="equal">
      <formula>0</formula>
    </cfRule>
  </conditionalFormatting>
  <conditionalFormatting sqref="N22">
    <cfRule type="cellIs" dxfId="61" priority="81" operator="equal">
      <formula>0</formula>
    </cfRule>
  </conditionalFormatting>
  <conditionalFormatting sqref="E23:F23">
    <cfRule type="cellIs" dxfId="60" priority="78" operator="equal">
      <formula>0</formula>
    </cfRule>
  </conditionalFormatting>
  <conditionalFormatting sqref="H23">
    <cfRule type="cellIs" dxfId="59" priority="77" operator="equal">
      <formula>0</formula>
    </cfRule>
  </conditionalFormatting>
  <conditionalFormatting sqref="J23">
    <cfRule type="cellIs" dxfId="58" priority="74" operator="equal">
      <formula>0</formula>
    </cfRule>
  </conditionalFormatting>
  <conditionalFormatting sqref="L23:M23 T23:V23">
    <cfRule type="cellIs" dxfId="57" priority="80" operator="equal">
      <formula>0</formula>
    </cfRule>
  </conditionalFormatting>
  <conditionalFormatting sqref="N23">
    <cfRule type="cellIs" dxfId="56" priority="73" operator="equal">
      <formula>0</formula>
    </cfRule>
  </conditionalFormatting>
  <conditionalFormatting sqref="E24:F24">
    <cfRule type="cellIs" dxfId="55" priority="70" operator="equal">
      <formula>0</formula>
    </cfRule>
  </conditionalFormatting>
  <conditionalFormatting sqref="H24">
    <cfRule type="cellIs" dxfId="54" priority="69" operator="equal">
      <formula>0</formula>
    </cfRule>
  </conditionalFormatting>
  <conditionalFormatting sqref="J24">
    <cfRule type="cellIs" dxfId="53" priority="66" operator="equal">
      <formula>0</formula>
    </cfRule>
  </conditionalFormatting>
  <conditionalFormatting sqref="L24:M24 T24:V24">
    <cfRule type="cellIs" dxfId="52" priority="72" operator="equal">
      <formula>0</formula>
    </cfRule>
  </conditionalFormatting>
  <conditionalFormatting sqref="N24">
    <cfRule type="cellIs" dxfId="51" priority="65" operator="equal">
      <formula>0</formula>
    </cfRule>
  </conditionalFormatting>
  <conditionalFormatting sqref="E25:F25">
    <cfRule type="cellIs" dxfId="50" priority="62" operator="equal">
      <formula>0</formula>
    </cfRule>
  </conditionalFormatting>
  <conditionalFormatting sqref="H25">
    <cfRule type="cellIs" dxfId="49" priority="61" operator="equal">
      <formula>0</formula>
    </cfRule>
  </conditionalFormatting>
  <conditionalFormatting sqref="J25">
    <cfRule type="cellIs" dxfId="48" priority="58" operator="equal">
      <formula>0</formula>
    </cfRule>
  </conditionalFormatting>
  <conditionalFormatting sqref="L25:M25 T25:V25">
    <cfRule type="cellIs" dxfId="47" priority="64" operator="equal">
      <formula>0</formula>
    </cfRule>
  </conditionalFormatting>
  <conditionalFormatting sqref="N25">
    <cfRule type="cellIs" dxfId="46" priority="57" operator="equal">
      <formula>0</formula>
    </cfRule>
  </conditionalFormatting>
  <conditionalFormatting sqref="E28:F28">
    <cfRule type="cellIs" dxfId="45" priority="54" operator="equal">
      <formula>0</formula>
    </cfRule>
  </conditionalFormatting>
  <conditionalFormatting sqref="H28">
    <cfRule type="cellIs" dxfId="44" priority="53" operator="equal">
      <formula>0</formula>
    </cfRule>
  </conditionalFormatting>
  <conditionalFormatting sqref="J28">
    <cfRule type="cellIs" dxfId="43" priority="50" operator="equal">
      <formula>0</formula>
    </cfRule>
  </conditionalFormatting>
  <conditionalFormatting sqref="L28 T28:V28">
    <cfRule type="cellIs" dxfId="42" priority="56" operator="equal">
      <formula>0</formula>
    </cfRule>
  </conditionalFormatting>
  <conditionalFormatting sqref="N28">
    <cfRule type="cellIs" dxfId="41" priority="49" operator="equal">
      <formula>0</formula>
    </cfRule>
  </conditionalFormatting>
  <conditionalFormatting sqref="E26:F26">
    <cfRule type="cellIs" dxfId="40" priority="46" operator="equal">
      <formula>0</formula>
    </cfRule>
  </conditionalFormatting>
  <conditionalFormatting sqref="H26">
    <cfRule type="cellIs" dxfId="39" priority="45" operator="equal">
      <formula>0</formula>
    </cfRule>
  </conditionalFormatting>
  <conditionalFormatting sqref="J26">
    <cfRule type="cellIs" dxfId="38" priority="42" operator="equal">
      <formula>0</formula>
    </cfRule>
  </conditionalFormatting>
  <conditionalFormatting sqref="L26:M26 T26:V26">
    <cfRule type="cellIs" dxfId="37" priority="48" operator="equal">
      <formula>0</formula>
    </cfRule>
  </conditionalFormatting>
  <conditionalFormatting sqref="N26">
    <cfRule type="cellIs" dxfId="36" priority="41" operator="equal">
      <formula>0</formula>
    </cfRule>
  </conditionalFormatting>
  <conditionalFormatting sqref="E27:F27">
    <cfRule type="cellIs" dxfId="35" priority="38" operator="equal">
      <formula>0</formula>
    </cfRule>
  </conditionalFormatting>
  <conditionalFormatting sqref="H27">
    <cfRule type="cellIs" dxfId="34" priority="37" operator="equal">
      <formula>0</formula>
    </cfRule>
  </conditionalFormatting>
  <conditionalFormatting sqref="J27">
    <cfRule type="cellIs" dxfId="33" priority="34" operator="equal">
      <formula>0</formula>
    </cfRule>
  </conditionalFormatting>
  <conditionalFormatting sqref="L27:M27 T27:V27 M28">
    <cfRule type="cellIs" dxfId="32" priority="40" operator="equal">
      <formula>0</formula>
    </cfRule>
  </conditionalFormatting>
  <conditionalFormatting sqref="N27">
    <cfRule type="cellIs" dxfId="31" priority="33" operator="equal">
      <formula>0</formula>
    </cfRule>
  </conditionalFormatting>
  <conditionalFormatting sqref="P14:Q14 P29:Q29">
    <cfRule type="cellIs" dxfId="30" priority="32" operator="equal">
      <formula>0</formula>
    </cfRule>
  </conditionalFormatting>
  <conditionalFormatting sqref="R13:S13 S14">
    <cfRule type="cellIs" dxfId="29" priority="31" operator="equal">
      <formula>0</formula>
    </cfRule>
  </conditionalFormatting>
  <conditionalFormatting sqref="P15:Q15">
    <cfRule type="cellIs" dxfId="28" priority="30" operator="equal">
      <formula>0</formula>
    </cfRule>
  </conditionalFormatting>
  <conditionalFormatting sqref="S15">
    <cfRule type="cellIs" dxfId="27" priority="29" operator="equal">
      <formula>0</formula>
    </cfRule>
  </conditionalFormatting>
  <conditionalFormatting sqref="P16:Q16">
    <cfRule type="cellIs" dxfId="26" priority="28" operator="equal">
      <formula>0</formula>
    </cfRule>
  </conditionalFormatting>
  <conditionalFormatting sqref="S16">
    <cfRule type="cellIs" dxfId="25" priority="27" operator="equal">
      <formula>0</formula>
    </cfRule>
  </conditionalFormatting>
  <conditionalFormatting sqref="P17:Q17">
    <cfRule type="cellIs" dxfId="24" priority="26" operator="equal">
      <formula>0</formula>
    </cfRule>
  </conditionalFormatting>
  <conditionalFormatting sqref="S17">
    <cfRule type="cellIs" dxfId="23" priority="25" operator="equal">
      <formula>0</formula>
    </cfRule>
  </conditionalFormatting>
  <conditionalFormatting sqref="P18:Q18">
    <cfRule type="cellIs" dxfId="22" priority="24" operator="equal">
      <formula>0</formula>
    </cfRule>
  </conditionalFormatting>
  <conditionalFormatting sqref="S18">
    <cfRule type="cellIs" dxfId="21" priority="23" operator="equal">
      <formula>0</formula>
    </cfRule>
  </conditionalFormatting>
  <conditionalFormatting sqref="P19:Q19">
    <cfRule type="cellIs" dxfId="20" priority="22" operator="equal">
      <formula>0</formula>
    </cfRule>
  </conditionalFormatting>
  <conditionalFormatting sqref="R19:S19 R20:R29 R14:R18">
    <cfRule type="cellIs" dxfId="19" priority="21" operator="equal">
      <formula>0</formula>
    </cfRule>
  </conditionalFormatting>
  <conditionalFormatting sqref="P20:Q20">
    <cfRule type="cellIs" dxfId="18" priority="20" operator="equal">
      <formula>0</formula>
    </cfRule>
  </conditionalFormatting>
  <conditionalFormatting sqref="S20">
    <cfRule type="cellIs" dxfId="17" priority="19" operator="equal">
      <formula>0</formula>
    </cfRule>
  </conditionalFormatting>
  <conditionalFormatting sqref="P21:Q21">
    <cfRule type="cellIs" dxfId="16" priority="18" operator="equal">
      <formula>0</formula>
    </cfRule>
  </conditionalFormatting>
  <conditionalFormatting sqref="S21">
    <cfRule type="cellIs" dxfId="15" priority="17" operator="equal">
      <formula>0</formula>
    </cfRule>
  </conditionalFormatting>
  <conditionalFormatting sqref="P22:Q22">
    <cfRule type="cellIs" dxfId="14" priority="16" operator="equal">
      <formula>0</formula>
    </cfRule>
  </conditionalFormatting>
  <conditionalFormatting sqref="S22">
    <cfRule type="cellIs" dxfId="13" priority="15" operator="equal">
      <formula>0</formula>
    </cfRule>
  </conditionalFormatting>
  <conditionalFormatting sqref="P23:Q23">
    <cfRule type="cellIs" dxfId="12" priority="14" operator="equal">
      <formula>0</formula>
    </cfRule>
  </conditionalFormatting>
  <conditionalFormatting sqref="S23">
    <cfRule type="cellIs" dxfId="11" priority="13" operator="equal">
      <formula>0</formula>
    </cfRule>
  </conditionalFormatting>
  <conditionalFormatting sqref="P24:Q24">
    <cfRule type="cellIs" dxfId="10" priority="12" operator="equal">
      <formula>0</formula>
    </cfRule>
  </conditionalFormatting>
  <conditionalFormatting sqref="S24">
    <cfRule type="cellIs" dxfId="9" priority="11" operator="equal">
      <formula>0</formula>
    </cfRule>
  </conditionalFormatting>
  <conditionalFormatting sqref="P25:Q25">
    <cfRule type="cellIs" dxfId="8" priority="10" operator="equal">
      <formula>0</formula>
    </cfRule>
  </conditionalFormatting>
  <conditionalFormatting sqref="S25">
    <cfRule type="cellIs" dxfId="7" priority="9" operator="equal">
      <formula>0</formula>
    </cfRule>
  </conditionalFormatting>
  <conditionalFormatting sqref="P28:Q28">
    <cfRule type="cellIs" dxfId="6" priority="8" operator="equal">
      <formula>0</formula>
    </cfRule>
  </conditionalFormatting>
  <conditionalFormatting sqref="S28">
    <cfRule type="cellIs" dxfId="5" priority="7" operator="equal">
      <formula>0</formula>
    </cfRule>
  </conditionalFormatting>
  <conditionalFormatting sqref="P26:Q26">
    <cfRule type="cellIs" dxfId="4" priority="6" operator="equal">
      <formula>0</formula>
    </cfRule>
  </conditionalFormatting>
  <conditionalFormatting sqref="S26">
    <cfRule type="cellIs" dxfId="3" priority="5" operator="equal">
      <formula>0</formula>
    </cfRule>
  </conditionalFormatting>
  <conditionalFormatting sqref="P27:Q27">
    <cfRule type="cellIs" dxfId="2" priority="4" operator="equal">
      <formula>0</formula>
    </cfRule>
  </conditionalFormatting>
  <conditionalFormatting sqref="S27">
    <cfRule type="cellIs" dxfId="1" priority="3" operator="equal">
      <formula>0</formula>
    </cfRule>
  </conditionalFormatting>
  <conditionalFormatting sqref="S29">
    <cfRule type="cellIs" dxfId="0" priority="1" operator="equal">
      <formula>0</formula>
    </cfRule>
  </conditionalFormatting>
  <hyperlinks>
    <hyperlink ref="D54" display="https://vytapeni.tzb-info.cz/tabulky-a-vypocty/103-vypocet-denostupnu?stanice=36&amp;action=1&amp;otopne_obdobi=&amp;start_day=01&amp;start_month=01&amp;start_year=2022&amp;end_day=31&amp;end_month=12&amp;end_year=2022&amp;ti=20&amp;tem=13.0&amp;chkbox_sumtbl=1&amp;chkbox_deg=1&amp;chkbox_dnu=1&amp;chkbox_prum"/>
  </hyperlinks>
  <pageMargins left="0.25" right="0.25" top="0.75" bottom="0.75" header="0.3" footer="0.3"/>
  <pageSetup paperSize="9" scale="38" orientation="landscape" r:id="rId1"/>
  <headerFooter>
    <oddHeader>&amp;L&amp;"Calibri"&amp;10&amp;K000000 INTERNÍ      &amp;1#_x000D_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66"/>
  <sheetViews>
    <sheetView zoomScale="70" zoomScaleNormal="70" workbookViewId="0">
      <selection activeCell="T28" sqref="T28"/>
    </sheetView>
  </sheetViews>
  <sheetFormatPr defaultColWidth="8.85546875" defaultRowHeight="15"/>
  <cols>
    <col min="1" max="1" width="3.7109375" style="10" customWidth="1"/>
    <col min="2" max="2" width="16.42578125" customWidth="1"/>
    <col min="4" max="4" width="12.5703125" customWidth="1"/>
    <col min="5" max="5" width="14.28515625" bestFit="1" customWidth="1"/>
    <col min="6" max="6" width="15.7109375" style="488" bestFit="1" customWidth="1"/>
    <col min="7" max="7" width="12.42578125" customWidth="1"/>
    <col min="8" max="8" width="12.5703125" style="10" customWidth="1"/>
    <col min="9" max="9" width="15.7109375" style="462" bestFit="1" customWidth="1"/>
    <col min="10" max="10" width="16.28515625" style="10" bestFit="1" customWidth="1"/>
    <col min="11" max="11" width="12.5703125" customWidth="1"/>
    <col min="12" max="12" width="12.85546875" style="476" bestFit="1" customWidth="1"/>
    <col min="13" max="13" width="17.7109375" bestFit="1" customWidth="1"/>
    <col min="14" max="14" width="12.5703125" customWidth="1"/>
    <col min="15" max="15" width="14.28515625" style="488" bestFit="1" customWidth="1"/>
    <col min="16" max="16" width="12.5703125" customWidth="1"/>
    <col min="17" max="17" width="14.140625" customWidth="1"/>
    <col min="18" max="18" width="18.42578125" customWidth="1"/>
    <col min="19" max="19" width="13" customWidth="1"/>
    <col min="20" max="20" width="20.7109375" customWidth="1"/>
    <col min="21" max="21" width="23.42578125" customWidth="1"/>
    <col min="22" max="22" width="12.140625" style="11" customWidth="1"/>
  </cols>
  <sheetData>
    <row r="1" spans="1:21" ht="23.25" customHeight="1">
      <c r="A1" s="1229" t="s">
        <v>30</v>
      </c>
      <c r="B1" s="1230"/>
      <c r="C1" s="1231"/>
      <c r="D1" s="1226" t="s">
        <v>29</v>
      </c>
      <c r="E1" s="1227"/>
      <c r="F1" s="1227"/>
      <c r="G1" s="1227"/>
      <c r="H1" s="1226" t="s">
        <v>26</v>
      </c>
      <c r="I1" s="1227"/>
      <c r="J1" s="1227"/>
      <c r="K1" s="1226" t="s">
        <v>27</v>
      </c>
      <c r="L1" s="1227"/>
      <c r="M1" s="1227"/>
      <c r="N1" s="1226" t="s">
        <v>28</v>
      </c>
      <c r="O1" s="1227"/>
      <c r="P1" s="1228"/>
    </row>
    <row r="2" spans="1:21" ht="25.5" customHeight="1" thickBot="1">
      <c r="A2" s="1018" t="s">
        <v>24</v>
      </c>
      <c r="B2" s="1019" t="s">
        <v>8</v>
      </c>
      <c r="C2" s="1019" t="s">
        <v>25</v>
      </c>
      <c r="D2" s="1019" t="s">
        <v>122</v>
      </c>
      <c r="E2" s="1019" t="s">
        <v>100</v>
      </c>
      <c r="F2" s="1020" t="s">
        <v>3</v>
      </c>
      <c r="G2" s="1019" t="s">
        <v>123</v>
      </c>
      <c r="H2" s="1019" t="s">
        <v>100</v>
      </c>
      <c r="I2" s="1020" t="s">
        <v>3</v>
      </c>
      <c r="J2" s="1019" t="s">
        <v>121</v>
      </c>
      <c r="K2" s="1021" t="s">
        <v>100</v>
      </c>
      <c r="L2" s="1020" t="s">
        <v>3</v>
      </c>
      <c r="M2" s="1019" t="s">
        <v>121</v>
      </c>
      <c r="N2" s="1019" t="s">
        <v>6</v>
      </c>
      <c r="O2" s="1020" t="s">
        <v>3</v>
      </c>
      <c r="P2" s="1022" t="s">
        <v>124</v>
      </c>
    </row>
    <row r="3" spans="1:21">
      <c r="A3" s="1233">
        <v>1</v>
      </c>
      <c r="B3" s="1236" t="s">
        <v>9</v>
      </c>
      <c r="C3" s="326">
        <v>2019</v>
      </c>
      <c r="D3" s="257">
        <f>E3*3.6</f>
        <v>3103.3764000000001</v>
      </c>
      <c r="E3" s="255">
        <f>('01_ZŠ Březová'!X16/1000)</f>
        <v>862.04899999999998</v>
      </c>
      <c r="F3" s="486">
        <f>'01_ZŠ Březová'!Y16</f>
        <v>2016978</v>
      </c>
      <c r="G3" s="258">
        <f>F3/D3</f>
        <v>649.93018571643449</v>
      </c>
      <c r="H3" s="534">
        <f>('01_ZŠ Březová'!C16+'01_ZŠ Březová'!N16)/1000</f>
        <v>91.385999999999996</v>
      </c>
      <c r="I3" s="1023">
        <f>'01_ZŠ Březová'!D16+'01_ZŠ Březová'!O16</f>
        <v>422902.11</v>
      </c>
      <c r="J3" s="1014">
        <f>I3/H3</f>
        <v>4627.6465760619785</v>
      </c>
      <c r="K3" s="1015">
        <f>('01_ZŠ Březová'!AG16/1000)</f>
        <v>16.371089999999999</v>
      </c>
      <c r="L3" s="1016">
        <f>'01_ZŠ Březová'!AH16</f>
        <v>20521.080000000002</v>
      </c>
      <c r="M3" s="1017">
        <f>L3/K3</f>
        <v>1253.495033012463</v>
      </c>
      <c r="N3" s="257">
        <f>'01_ZŠ Březová'!AR16+'01_ZŠ Březová'!BC16+'01_ZŠ Březová'!BN16</f>
        <v>1168</v>
      </c>
      <c r="O3" s="507">
        <f>'01_ZŠ Březová'!AS16+'01_ZŠ Březová'!BD16+'01_ZŠ Březová'!BO16</f>
        <v>111225.19</v>
      </c>
      <c r="P3" s="268">
        <f>O3/N3</f>
        <v>95.227046232876717</v>
      </c>
      <c r="R3" s="205" t="s">
        <v>125</v>
      </c>
      <c r="T3" t="s">
        <v>131</v>
      </c>
      <c r="U3">
        <v>1000</v>
      </c>
    </row>
    <row r="4" spans="1:21">
      <c r="A4" s="1233"/>
      <c r="B4" s="1236"/>
      <c r="C4" s="12">
        <v>2020</v>
      </c>
      <c r="D4" s="251">
        <f>E4*3.6</f>
        <v>3040.3476000000001</v>
      </c>
      <c r="E4" s="253">
        <f>('01_ZŠ Březová'!Z16)/1000</f>
        <v>844.54100000000005</v>
      </c>
      <c r="F4" s="480">
        <f>'01_ZŠ Březová'!AA16</f>
        <v>1862480</v>
      </c>
      <c r="G4" s="252">
        <f t="shared" ref="G4:G62" si="0">F4/D4</f>
        <v>612.58785015239698</v>
      </c>
      <c r="H4" s="253">
        <f>('01_ZŠ Březová'!F16+'01_ZŠ Březová'!Q16)/1000</f>
        <v>50.892000000000003</v>
      </c>
      <c r="I4" s="483">
        <f>'01_ZŠ Březová'!G16+'01_ZŠ Březová'!R16</f>
        <v>260121</v>
      </c>
      <c r="J4" s="295">
        <f t="shared" ref="J4:J66" si="1">I4/H4</f>
        <v>5111.2355576514974</v>
      </c>
      <c r="K4" s="223">
        <f>('01_ZŠ Březová'!AJ16)/1000</f>
        <v>11.026249999999999</v>
      </c>
      <c r="L4" s="500">
        <f>'01_ZŠ Březová'!AK16</f>
        <v>13591</v>
      </c>
      <c r="M4" s="298">
        <f t="shared" ref="M4:M6" si="2">L4/K4</f>
        <v>1232.6040131504365</v>
      </c>
      <c r="N4" s="516">
        <f>'01_ZŠ Březová'!AU16+'01_ZŠ Březová'!BF16+'01_ZŠ Březová'!BQ16</f>
        <v>1008</v>
      </c>
      <c r="O4" s="518">
        <f>'01_ZŠ Březová'!AV16+'01_ZŠ Březová'!BG16+'01_ZŠ Březová'!BR16</f>
        <v>90873.37</v>
      </c>
      <c r="P4" s="264">
        <f t="shared" ref="P4:P65" si="3">O4/N4</f>
        <v>90.152152777777772</v>
      </c>
      <c r="R4" s="206" t="s">
        <v>126</v>
      </c>
    </row>
    <row r="5" spans="1:21">
      <c r="A5" s="1233"/>
      <c r="B5" s="1236"/>
      <c r="C5" s="327">
        <v>2021</v>
      </c>
      <c r="D5" s="251">
        <f>E5*3.6</f>
        <v>3373.0956000000001</v>
      </c>
      <c r="E5" s="253">
        <f>('01_ZŠ Březová'!AB16)/1000</f>
        <v>936.971</v>
      </c>
      <c r="F5" s="480">
        <f>'01_ZŠ Březová'!AC16</f>
        <v>2040000</v>
      </c>
      <c r="G5" s="252">
        <f t="shared" si="0"/>
        <v>604.78570485817238</v>
      </c>
      <c r="H5" s="255">
        <f>('01_ZŠ Březová'!I16+'01_ZŠ Březová'!T16)/1000</f>
        <v>60.262999999999998</v>
      </c>
      <c r="I5" s="486">
        <f>'01_ZŠ Březová'!J16+'01_ZŠ Březová'!U16</f>
        <v>329316.82999999996</v>
      </c>
      <c r="J5" s="256">
        <f t="shared" si="1"/>
        <v>5464.660405223769</v>
      </c>
      <c r="K5" s="223">
        <f>('01_ZŠ Březová'!AM16)/1000</f>
        <v>18.097000000000001</v>
      </c>
      <c r="L5" s="500">
        <f>'01_ZŠ Březová'!AN16</f>
        <v>18753</v>
      </c>
      <c r="M5" s="298">
        <f t="shared" si="2"/>
        <v>1036.2491020611151</v>
      </c>
      <c r="N5" s="516">
        <f>'01_ZŠ Březová'!AX16+'01_ZŠ Březová'!BI16+'01_ZŠ Březová'!BT16</f>
        <v>1110</v>
      </c>
      <c r="O5" s="518">
        <f>'01_ZŠ Březová'!AY16+'01_ZŠ Březová'!BJ16+'01_ZŠ Březová'!BU16</f>
        <v>116289.4</v>
      </c>
      <c r="P5" s="264">
        <f t="shared" si="3"/>
        <v>104.76522522522522</v>
      </c>
    </row>
    <row r="6" spans="1:21" ht="15.75" thickBot="1">
      <c r="A6" s="1234"/>
      <c r="B6" s="1237"/>
      <c r="C6" s="326">
        <v>2022</v>
      </c>
      <c r="D6" s="490">
        <f t="shared" ref="D6:D62" si="4">E6*3.6</f>
        <v>3485.5884000000001</v>
      </c>
      <c r="E6" s="332">
        <f>'01_ZŠ Březová'!AD16/1000</f>
        <v>968.21900000000005</v>
      </c>
      <c r="F6" s="491">
        <f>'01_ZŠ Březová'!AE16</f>
        <v>3087884.04</v>
      </c>
      <c r="G6" s="499">
        <f t="shared" si="0"/>
        <v>885.90036620502872</v>
      </c>
      <c r="H6" s="534">
        <f>('01_ZŠ Březová'!K16+'01_ZŠ Březová'!V16)/1000</f>
        <v>73.025199999999998</v>
      </c>
      <c r="I6" s="1023">
        <f>('01_ZŠ Březová'!L16+'01_ZŠ Březová'!W16)</f>
        <v>400840.20000000007</v>
      </c>
      <c r="J6" s="256">
        <f t="shared" si="1"/>
        <v>5489.0667879033554</v>
      </c>
      <c r="K6" s="333">
        <f>'01_ZŠ Březová'!AO16/1000</f>
        <v>21.145</v>
      </c>
      <c r="L6" s="501">
        <f>'01_ZŠ Březová'!AP16</f>
        <v>21535</v>
      </c>
      <c r="M6" s="489">
        <f t="shared" si="2"/>
        <v>1018.4440766138567</v>
      </c>
      <c r="N6" s="530">
        <f>'01_ZŠ Březová'!BV16+'01_ZŠ Březová'!BK16+'01_ZŠ Březová'!AZ16</f>
        <v>1329.2494999999999</v>
      </c>
      <c r="O6" s="531">
        <f>'01_ZŠ Březová'!BW16+'01_ZŠ Březová'!BL16+'01_ZŠ Březová'!BA16</f>
        <v>124340.42</v>
      </c>
      <c r="P6" s="264">
        <f t="shared" si="3"/>
        <v>93.541821907775784</v>
      </c>
    </row>
    <row r="7" spans="1:21">
      <c r="A7" s="1238">
        <v>2</v>
      </c>
      <c r="B7" s="1240" t="s">
        <v>10</v>
      </c>
      <c r="C7" s="344">
        <v>2019</v>
      </c>
      <c r="D7" s="257">
        <f t="shared" si="4"/>
        <v>3131.3024999999998</v>
      </c>
      <c r="E7" s="345">
        <f>('02_ZŠ Na Pěšině'!M16)/1000</f>
        <v>869.80624999999998</v>
      </c>
      <c r="F7" s="492">
        <f>'02_ZŠ Na Pěšině'!N16</f>
        <v>1985804.71</v>
      </c>
      <c r="G7" s="258">
        <f t="shared" si="0"/>
        <v>634.17849600924853</v>
      </c>
      <c r="H7" s="345">
        <f>('02_ZŠ Na Pěšině'!C16)/1000</f>
        <v>90.052000000000007</v>
      </c>
      <c r="I7" s="1024">
        <f>'02_ZŠ Na Pěšině'!D16</f>
        <v>442464</v>
      </c>
      <c r="J7" s="346">
        <f t="shared" si="1"/>
        <v>4913.4277972726868</v>
      </c>
      <c r="K7" s="272" t="s">
        <v>127</v>
      </c>
      <c r="L7" s="467" t="s">
        <v>127</v>
      </c>
      <c r="M7" s="267" t="e">
        <f t="shared" ref="M7:M65" si="5">L7/K7</f>
        <v>#VALUE!</v>
      </c>
      <c r="N7" s="347">
        <f>'02_ZŠ Na Pěšině'!V16</f>
        <v>1467</v>
      </c>
      <c r="O7" s="502">
        <f>'02_ZŠ Na Pěšině'!W16</f>
        <v>146042.51999999999</v>
      </c>
      <c r="P7" s="263">
        <f t="shared" si="3"/>
        <v>99.551820040899784</v>
      </c>
    </row>
    <row r="8" spans="1:21">
      <c r="A8" s="1239"/>
      <c r="B8" s="1241"/>
      <c r="C8" s="348">
        <v>2020</v>
      </c>
      <c r="D8" s="251">
        <f t="shared" si="4"/>
        <v>2335.9018679999999</v>
      </c>
      <c r="E8" s="349">
        <f>('02_ZŠ Na Pěšině'!O16)/1000</f>
        <v>648.86162999999999</v>
      </c>
      <c r="F8" s="493">
        <f>'02_ZŠ Na Pěšině'!P16</f>
        <v>1414632.71</v>
      </c>
      <c r="G8" s="252">
        <f t="shared" si="0"/>
        <v>605.60451163610264</v>
      </c>
      <c r="H8" s="349">
        <f>('02_ZŠ Na Pěšině'!F16)/1000</f>
        <v>48.322000000000003</v>
      </c>
      <c r="I8" s="1025">
        <f>'02_ZŠ Na Pěšině'!G16</f>
        <v>256723</v>
      </c>
      <c r="J8" s="350">
        <f t="shared" si="1"/>
        <v>5312.7560945325104</v>
      </c>
      <c r="K8" s="273" t="s">
        <v>127</v>
      </c>
      <c r="L8" s="468" t="s">
        <v>127</v>
      </c>
      <c r="M8" s="254" t="e">
        <f t="shared" si="5"/>
        <v>#VALUE!</v>
      </c>
      <c r="N8" s="351">
        <f>'02_ZŠ Na Pěšině'!Y16</f>
        <v>2298</v>
      </c>
      <c r="O8" s="503">
        <f>'02_ZŠ Na Pěšině'!Z16</f>
        <v>232908.05999999997</v>
      </c>
      <c r="P8" s="264">
        <f t="shared" si="3"/>
        <v>101.35250652741513</v>
      </c>
    </row>
    <row r="9" spans="1:21">
      <c r="A9" s="1239"/>
      <c r="B9" s="1241"/>
      <c r="C9" s="348">
        <v>2021</v>
      </c>
      <c r="D9" s="251">
        <f t="shared" si="4"/>
        <v>2565.0020519999998</v>
      </c>
      <c r="E9" s="349">
        <f>('02_ZŠ Na Pěšině'!Q16)/1000</f>
        <v>712.50056999999993</v>
      </c>
      <c r="F9" s="493">
        <f>'02_ZŠ Na Pěšině'!R16</f>
        <v>1516110.16</v>
      </c>
      <c r="G9" s="252">
        <f t="shared" si="0"/>
        <v>591.07561290949013</v>
      </c>
      <c r="H9" s="349">
        <f>('02_ZŠ Na Pěšině'!I16)/1000</f>
        <v>59.343000000000004</v>
      </c>
      <c r="I9" s="1025">
        <f>'02_ZŠ Na Pěšině'!J16</f>
        <v>328313</v>
      </c>
      <c r="J9" s="350">
        <f t="shared" si="1"/>
        <v>5532.4638120755608</v>
      </c>
      <c r="K9" s="273" t="s">
        <v>127</v>
      </c>
      <c r="L9" s="468" t="s">
        <v>127</v>
      </c>
      <c r="M9" s="254" t="e">
        <f t="shared" si="5"/>
        <v>#VALUE!</v>
      </c>
      <c r="N9" s="351">
        <f>'02_ZŠ Na Pěšině'!AB16</f>
        <v>1526</v>
      </c>
      <c r="O9" s="503">
        <f>'02_ZŠ Na Pěšině'!AC16</f>
        <v>159664.66</v>
      </c>
      <c r="P9" s="264">
        <f t="shared" si="3"/>
        <v>104.62952817824377</v>
      </c>
    </row>
    <row r="10" spans="1:21" ht="15.75" thickBot="1">
      <c r="A10" s="1234"/>
      <c r="B10" s="1242"/>
      <c r="C10" s="352">
        <v>2022</v>
      </c>
      <c r="D10" s="490">
        <f t="shared" si="4"/>
        <v>2974.8672000000001</v>
      </c>
      <c r="E10" s="353">
        <f>'02_ZŠ Na Pěšině'!S16/1000</f>
        <v>826.35199999999998</v>
      </c>
      <c r="F10" s="494">
        <f>'02_ZŠ Na Pěšině'!T16</f>
        <v>2185251.21</v>
      </c>
      <c r="G10" s="499">
        <f t="shared" si="0"/>
        <v>734.57101211106158</v>
      </c>
      <c r="H10" s="353">
        <f>'02_ZŠ Na Pěšině'!K16/1000</f>
        <v>64.037000000000006</v>
      </c>
      <c r="I10" s="1026">
        <f>'02_ZŠ Na Pěšině'!L16</f>
        <v>369845.03000000009</v>
      </c>
      <c r="J10" s="478">
        <f t="shared" si="1"/>
        <v>5775.4896388025682</v>
      </c>
      <c r="K10" s="336"/>
      <c r="L10" s="469"/>
      <c r="M10" s="270"/>
      <c r="N10" s="354">
        <f>'02_ZŠ Na Pěšině'!AD16</f>
        <v>1610</v>
      </c>
      <c r="O10" s="504">
        <f>'02_ZŠ Na Pěšině'!AE16</f>
        <v>180703.31999999998</v>
      </c>
      <c r="P10" s="264">
        <f t="shared" si="3"/>
        <v>112.23808695652173</v>
      </c>
    </row>
    <row r="11" spans="1:21">
      <c r="A11" s="1232">
        <v>3</v>
      </c>
      <c r="B11" s="1235" t="s">
        <v>11</v>
      </c>
      <c r="C11" s="259">
        <v>2019</v>
      </c>
      <c r="D11" s="257">
        <f t="shared" si="4"/>
        <v>2923.4412000000002</v>
      </c>
      <c r="E11" s="623">
        <f>('03_ZŠ Školní'!M16)/1000</f>
        <v>812.06700000000001</v>
      </c>
      <c r="F11" s="514">
        <f>'03_ZŠ Školní'!N16</f>
        <v>1851785</v>
      </c>
      <c r="G11" s="258">
        <f t="shared" si="0"/>
        <v>633.42645646507265</v>
      </c>
      <c r="H11" s="260">
        <f>('03_ZŠ Školní'!C16)/1000</f>
        <v>84.361999999999995</v>
      </c>
      <c r="I11" s="482">
        <f>'03_ZŠ Školní'!D16</f>
        <v>409655</v>
      </c>
      <c r="J11" s="261">
        <f t="shared" si="1"/>
        <v>4855.9185415234351</v>
      </c>
      <c r="K11" s="271">
        <f>('03_ZŠ Školní'!V16)/1000</f>
        <v>8.4130000000000003</v>
      </c>
      <c r="L11" s="470">
        <f>'03_ZŠ Školní'!W16</f>
        <v>14497</v>
      </c>
      <c r="M11" s="257">
        <f>L11/K11</f>
        <v>1723.1665279923927</v>
      </c>
      <c r="N11" s="262">
        <f>'03_ZŠ Školní'!AG16</f>
        <v>1663</v>
      </c>
      <c r="O11" s="502">
        <f>'03_ZŠ Školní'!AH16</f>
        <v>258166</v>
      </c>
      <c r="P11" s="263">
        <f t="shared" si="3"/>
        <v>155.24113048707156</v>
      </c>
    </row>
    <row r="12" spans="1:21">
      <c r="A12" s="1233"/>
      <c r="B12" s="1236"/>
      <c r="C12" s="12">
        <v>2020</v>
      </c>
      <c r="D12" s="251">
        <f t="shared" si="4"/>
        <v>2575.3535999999999</v>
      </c>
      <c r="E12" s="253">
        <f>('03_ZŠ Školní'!O16)/1000</f>
        <v>715.37599999999998</v>
      </c>
      <c r="F12" s="480">
        <f>'03_ZŠ Školní'!P16</f>
        <v>1547612</v>
      </c>
      <c r="G12" s="252">
        <f t="shared" si="0"/>
        <v>600.93184873719872</v>
      </c>
      <c r="H12" s="253">
        <f>('03_ZŠ Školní'!F16)/1000</f>
        <v>63.616999999999997</v>
      </c>
      <c r="I12" s="483">
        <f>'03_ZŠ Školní'!G16</f>
        <v>319058</v>
      </c>
      <c r="J12" s="250">
        <f t="shared" si="1"/>
        <v>5015.2946539447003</v>
      </c>
      <c r="K12" s="223">
        <f>('03_ZŠ Školní'!Y16)/1000</f>
        <v>5.2560000000000002</v>
      </c>
      <c r="L12" s="466">
        <f>'03_ZŠ Školní'!Z16</f>
        <v>7784</v>
      </c>
      <c r="M12" s="251">
        <f t="shared" ref="M12:M14" si="6">L12/K12</f>
        <v>1480.9741248097412</v>
      </c>
      <c r="N12" s="251">
        <f>'03_ZŠ Školní'!AJ16</f>
        <v>1013</v>
      </c>
      <c r="O12" s="503">
        <f>'03_ZŠ Školní'!AK16</f>
        <v>194689</v>
      </c>
      <c r="P12" s="264">
        <f t="shared" si="3"/>
        <v>192.19052319842052</v>
      </c>
    </row>
    <row r="13" spans="1:21">
      <c r="A13" s="1233"/>
      <c r="B13" s="1236"/>
      <c r="C13" s="12">
        <v>2021</v>
      </c>
      <c r="D13" s="251">
        <f t="shared" si="4"/>
        <v>3038.9904000000001</v>
      </c>
      <c r="E13" s="253">
        <f>('03_ZŠ Školní'!Q16)/1000</f>
        <v>844.16399999999999</v>
      </c>
      <c r="F13" s="480">
        <f>'03_ZŠ Školní'!R16</f>
        <v>1796292</v>
      </c>
      <c r="G13" s="252">
        <f t="shared" si="0"/>
        <v>591.08182770172618</v>
      </c>
      <c r="H13" s="253">
        <f>('03_ZŠ Školní'!I16)/1000</f>
        <v>67.738</v>
      </c>
      <c r="I13" s="497">
        <f>'03_ZŠ Školní'!J16</f>
        <v>362057</v>
      </c>
      <c r="J13" s="512">
        <f t="shared" si="1"/>
        <v>5344.9614691901152</v>
      </c>
      <c r="K13" s="513">
        <f>('03_ZŠ Školní'!AB16)/1000</f>
        <v>6.5259999999999998</v>
      </c>
      <c r="L13" s="500">
        <f>'03_ZŠ Školní'!AC16</f>
        <v>8119.78</v>
      </c>
      <c r="M13" s="251">
        <f t="shared" si="6"/>
        <v>1244.2200429053019</v>
      </c>
      <c r="N13" s="251">
        <f>'03_ZŠ Školní'!AM16</f>
        <v>1027</v>
      </c>
      <c r="O13" s="503">
        <f>'03_ZŠ Školní'!AN16</f>
        <v>107108.02</v>
      </c>
      <c r="P13" s="264">
        <f t="shared" si="3"/>
        <v>104.29213242453748</v>
      </c>
    </row>
    <row r="14" spans="1:21" ht="15.75" thickBot="1">
      <c r="A14" s="1234"/>
      <c r="B14" s="1237"/>
      <c r="C14" s="326">
        <v>2022</v>
      </c>
      <c r="D14" s="490">
        <f t="shared" si="4"/>
        <v>2571.5376000000001</v>
      </c>
      <c r="E14" s="332">
        <f>'03_ZŠ Školní'!S16/1000</f>
        <v>714.31600000000003</v>
      </c>
      <c r="F14" s="491">
        <f>'03_ZŠ Školní'!T16</f>
        <v>2566188</v>
      </c>
      <c r="G14" s="499">
        <f t="shared" si="0"/>
        <v>997.91968820522004</v>
      </c>
      <c r="H14" s="332">
        <f>'03_ZŠ Školní'!K16/1000</f>
        <v>78.165999999999997</v>
      </c>
      <c r="I14" s="484">
        <f>'03_ZŠ Školní'!L16</f>
        <v>430392</v>
      </c>
      <c r="J14" s="265">
        <f t="shared" si="1"/>
        <v>5506.1279840339794</v>
      </c>
      <c r="K14" s="333">
        <f>'03_ZŠ Školní'!AD16/1000</f>
        <v>8.7370000000000001</v>
      </c>
      <c r="L14" s="465">
        <f>'03_ZŠ Školní'!AE16</f>
        <v>11145</v>
      </c>
      <c r="M14" s="490">
        <f t="shared" si="6"/>
        <v>1275.6094769371637</v>
      </c>
      <c r="N14" s="509">
        <f>'03_ZŠ Školní'!AO16</f>
        <v>1143</v>
      </c>
      <c r="O14" s="504">
        <f>'03_ZŠ Školní'!AP16</f>
        <v>128533.8</v>
      </c>
      <c r="P14" s="335"/>
    </row>
    <row r="15" spans="1:21">
      <c r="A15" s="1232">
        <v>4</v>
      </c>
      <c r="B15" s="1235" t="s">
        <v>12</v>
      </c>
      <c r="C15" s="259">
        <v>2019</v>
      </c>
      <c r="D15" s="257">
        <f t="shared" si="4"/>
        <v>933.9011999999999</v>
      </c>
      <c r="E15" s="623">
        <f>('04_MŠ Školní'!AT16)/1000</f>
        <v>259.41699999999997</v>
      </c>
      <c r="F15" s="514">
        <f>'04_MŠ Školní'!AU16</f>
        <v>591551</v>
      </c>
      <c r="G15" s="258">
        <f t="shared" si="0"/>
        <v>633.41925248623738</v>
      </c>
      <c r="H15" s="260">
        <f>('04_MŠ Školní'!C16+'04_MŠ Školní'!N16+'04_MŠ Školní'!Y16+'04_MŠ Školní'!AJ16)/1000</f>
        <v>17.218</v>
      </c>
      <c r="I15" s="482">
        <f>'04_MŠ Školní'!D16+'04_MŠ Školní'!O16+'04_MŠ Školní'!Z16+'04_MŠ Školní'!AK16</f>
        <v>92758.84</v>
      </c>
      <c r="J15" s="256">
        <f t="shared" si="1"/>
        <v>5387.3179231037284</v>
      </c>
      <c r="K15" s="271">
        <f>('04_MŠ Školní'!BC16)/1000</f>
        <v>7.0469999999999997</v>
      </c>
      <c r="L15" s="470">
        <f>'04_MŠ Školní'!BD16</f>
        <v>12302</v>
      </c>
      <c r="M15" s="257">
        <f t="shared" si="5"/>
        <v>1745.7073932169719</v>
      </c>
      <c r="N15" s="262">
        <f>'04_MŠ Školní'!BN16</f>
        <v>798</v>
      </c>
      <c r="O15" s="502">
        <f>'04_MŠ Školní'!BO16</f>
        <v>112062</v>
      </c>
      <c r="P15" s="263">
        <f t="shared" si="3"/>
        <v>140.42857142857142</v>
      </c>
    </row>
    <row r="16" spans="1:21">
      <c r="A16" s="1233"/>
      <c r="B16" s="1236"/>
      <c r="C16" s="12">
        <v>2020</v>
      </c>
      <c r="D16" s="251">
        <f t="shared" si="4"/>
        <v>882.97919999999999</v>
      </c>
      <c r="E16" s="253">
        <f>('04_MŠ Školní'!AV16)/1000</f>
        <v>245.27199999999999</v>
      </c>
      <c r="F16" s="480">
        <f>'04_MŠ Školní'!AW16</f>
        <v>530608</v>
      </c>
      <c r="G16" s="252">
        <f t="shared" si="0"/>
        <v>600.92921781169935</v>
      </c>
      <c r="H16" s="253">
        <f>('04_MŠ Školní'!F16+'04_MŠ Školní'!Q16+'04_MŠ Školní'!AB16+'04_MŠ Školní'!AM16)/1000</f>
        <v>15.557</v>
      </c>
      <c r="I16" s="483">
        <f>'04_MŠ Školní'!G16+'04_MŠ Školní'!R16+'04_MŠ Školní'!AC16+'04_MŠ Školní'!AN16</f>
        <v>86157</v>
      </c>
      <c r="J16" s="250">
        <f t="shared" si="1"/>
        <v>5538.1500289258856</v>
      </c>
      <c r="K16" s="223">
        <f>('04_MŠ Školní'!BF16)/1000</f>
        <v>6.1429999999999998</v>
      </c>
      <c r="L16" s="466">
        <f>'04_MŠ Školní'!BG16</f>
        <v>8651</v>
      </c>
      <c r="M16" s="251">
        <f t="shared" si="5"/>
        <v>1408.2695751261599</v>
      </c>
      <c r="N16" s="251">
        <f>'04_MŠ Školní'!BQ16</f>
        <v>659</v>
      </c>
      <c r="O16" s="503">
        <f>'04_MŠ Školní'!BR16</f>
        <v>98770</v>
      </c>
      <c r="P16" s="264">
        <f t="shared" si="3"/>
        <v>149.87860394537176</v>
      </c>
    </row>
    <row r="17" spans="1:16">
      <c r="A17" s="1233"/>
      <c r="B17" s="1236"/>
      <c r="C17" s="12">
        <v>2021</v>
      </c>
      <c r="D17" s="251">
        <f t="shared" si="4"/>
        <v>1051.9992</v>
      </c>
      <c r="E17" s="253">
        <f>('04_MŠ Školní'!AX16)/1000</f>
        <v>292.22199999999998</v>
      </c>
      <c r="F17" s="480">
        <f>'04_MŠ Školní'!AY16</f>
        <v>621997</v>
      </c>
      <c r="G17" s="252">
        <f t="shared" si="0"/>
        <v>591.25235076224396</v>
      </c>
      <c r="H17" s="253">
        <f>('04_MŠ Školní'!I16+'04_MŠ Školní'!T16+'04_MŠ Školní'!AE16+'04_MŠ Školní'!AP16)/1000</f>
        <v>16.646000000000001</v>
      </c>
      <c r="I17" s="497">
        <f>'04_MŠ Školní'!J16+'04_MŠ Školní'!U16+'04_MŠ Školní'!AF16+'04_MŠ Školní'!AQ16</f>
        <v>100617.117</v>
      </c>
      <c r="J17" s="512">
        <f t="shared" si="1"/>
        <v>6044.5222275621763</v>
      </c>
      <c r="K17" s="513">
        <f>('04_MŠ Školní'!BI16)/1000</f>
        <v>6.79826</v>
      </c>
      <c r="L17" s="500">
        <f>'04_MŠ Školní'!BJ16</f>
        <v>7365.1490000000003</v>
      </c>
      <c r="M17" s="251">
        <f t="shared" si="5"/>
        <v>1083.3873667673788</v>
      </c>
      <c r="N17" s="251">
        <f>'04_MŠ Školní'!BT16</f>
        <v>562</v>
      </c>
      <c r="O17" s="503">
        <f>'04_MŠ Školní'!BU16</f>
        <v>58661</v>
      </c>
      <c r="P17" s="264">
        <f t="shared" si="3"/>
        <v>104.37900355871886</v>
      </c>
    </row>
    <row r="18" spans="1:16" ht="15.75" thickBot="1">
      <c r="A18" s="1234"/>
      <c r="B18" s="1237"/>
      <c r="C18" s="326">
        <v>2022</v>
      </c>
      <c r="D18" s="490">
        <f t="shared" si="4"/>
        <v>906.00120000000004</v>
      </c>
      <c r="E18" s="332">
        <f>'04_MŠ Školní'!AZ16/1000</f>
        <v>251.667</v>
      </c>
      <c r="F18" s="491">
        <f>'04_MŠ Školní'!BA16</f>
        <v>904307</v>
      </c>
      <c r="G18" s="499">
        <f t="shared" si="0"/>
        <v>998.1300245518438</v>
      </c>
      <c r="H18" s="1742">
        <f>('04_MŠ Školní'!K16+'04_MŠ Školní'!V16+'04_MŠ Školní'!AG16+'04_MŠ Školní'!AR16)/1000</f>
        <v>12.24</v>
      </c>
      <c r="I18" s="484">
        <f>('04_MŠ Školní'!L16+'04_MŠ Školní'!W16+'04_MŠ Školní'!AH16+'04_MŠ Školní'!AS16)</f>
        <v>78980.414000000004</v>
      </c>
      <c r="J18" s="265">
        <f t="shared" si="1"/>
        <v>6452.6482026143794</v>
      </c>
      <c r="K18" s="333">
        <f>'04_MŠ Školní'!BK16/1000</f>
        <v>9.268930000000001</v>
      </c>
      <c r="L18" s="465">
        <f>'04_MŠ Školní'!BL16</f>
        <v>9651.4310000000005</v>
      </c>
      <c r="M18" s="490">
        <f t="shared" si="5"/>
        <v>1041.2670070871179</v>
      </c>
      <c r="N18" s="334">
        <f>'04_MŠ Školní'!BV16</f>
        <v>671</v>
      </c>
      <c r="O18" s="505">
        <f>'04_MŠ Školní'!BW16</f>
        <v>75455.850000000006</v>
      </c>
      <c r="P18" s="264">
        <f t="shared" si="3"/>
        <v>112.45283159463489</v>
      </c>
    </row>
    <row r="19" spans="1:16">
      <c r="A19" s="1232">
        <v>5</v>
      </c>
      <c r="B19" s="1235" t="s">
        <v>13</v>
      </c>
      <c r="C19" s="259">
        <v>2019</v>
      </c>
      <c r="D19" s="257">
        <f t="shared" si="4"/>
        <v>1790.77</v>
      </c>
      <c r="E19" s="260">
        <f>('05_ZŠ Kosmonautů'!M16)/1000</f>
        <v>497.43611111111107</v>
      </c>
      <c r="F19" s="514">
        <f>'05_ZŠ Kosmonautů'!N16</f>
        <v>1000255</v>
      </c>
      <c r="G19" s="258">
        <f t="shared" si="0"/>
        <v>558.56140096159754</v>
      </c>
      <c r="H19" s="260">
        <f>('05_ZŠ Kosmonautů'!C16)/1000</f>
        <v>47.332000000000001</v>
      </c>
      <c r="I19" s="482">
        <f>'05_ZŠ Kosmonautů'!D16</f>
        <v>236316</v>
      </c>
      <c r="J19" s="256">
        <f t="shared" si="1"/>
        <v>4992.732189639145</v>
      </c>
      <c r="K19" s="272" t="s">
        <v>127</v>
      </c>
      <c r="L19" s="467" t="s">
        <v>127</v>
      </c>
      <c r="M19" s="267" t="e">
        <f t="shared" si="5"/>
        <v>#VALUE!</v>
      </c>
      <c r="N19" s="262">
        <f>'05_ZŠ Kosmonautů'!V16</f>
        <v>1006</v>
      </c>
      <c r="O19" s="502">
        <f>'05_ZŠ Kosmonautů'!W16</f>
        <v>99607</v>
      </c>
      <c r="P19" s="263">
        <f t="shared" si="3"/>
        <v>99.012922465208746</v>
      </c>
    </row>
    <row r="20" spans="1:16">
      <c r="A20" s="1233"/>
      <c r="B20" s="1236"/>
      <c r="C20" s="12">
        <v>2020</v>
      </c>
      <c r="D20" s="251">
        <f t="shared" si="4"/>
        <v>1460</v>
      </c>
      <c r="E20" s="253">
        <f>('05_ZŠ Kosmonautů'!O16)/1000</f>
        <v>405.55555555555554</v>
      </c>
      <c r="F20" s="480">
        <f>'05_ZŠ Kosmonautů'!P16</f>
        <v>877539</v>
      </c>
      <c r="G20" s="252">
        <f t="shared" si="0"/>
        <v>601.0541095890411</v>
      </c>
      <c r="H20" s="253">
        <f>('05_ZŠ Kosmonautů'!F16)/1000</f>
        <v>34.722000000000001</v>
      </c>
      <c r="I20" s="483">
        <f>'05_ZŠ Kosmonautů'!G16</f>
        <v>181249</v>
      </c>
      <c r="J20" s="250">
        <f t="shared" si="1"/>
        <v>5220.0046080294915</v>
      </c>
      <c r="K20" s="273" t="s">
        <v>127</v>
      </c>
      <c r="L20" s="468" t="s">
        <v>127</v>
      </c>
      <c r="M20" s="254" t="e">
        <f t="shared" si="5"/>
        <v>#VALUE!</v>
      </c>
      <c r="N20" s="251">
        <f>'05_ZŠ Kosmonautů'!Y16</f>
        <v>759.33</v>
      </c>
      <c r="O20" s="503">
        <f>'05_ZŠ Kosmonautů'!Z16</f>
        <v>74182.05</v>
      </c>
      <c r="P20" s="264">
        <f t="shared" si="3"/>
        <v>97.694085575441505</v>
      </c>
    </row>
    <row r="21" spans="1:16">
      <c r="A21" s="1233"/>
      <c r="B21" s="1236"/>
      <c r="C21" s="12">
        <v>2021</v>
      </c>
      <c r="D21" s="251">
        <f t="shared" si="4"/>
        <v>1794</v>
      </c>
      <c r="E21" s="253">
        <f>('05_ZŠ Kosmonautů'!Q16)/1000</f>
        <v>498.33333333333331</v>
      </c>
      <c r="F21" s="480">
        <f>'05_ZŠ Kosmonautů'!R16</f>
        <v>1060532</v>
      </c>
      <c r="G21" s="252">
        <f t="shared" si="0"/>
        <v>591.15496098104791</v>
      </c>
      <c r="H21" s="253">
        <f>('05_ZŠ Kosmonautů'!I16)/1000</f>
        <v>41.939</v>
      </c>
      <c r="I21" s="497">
        <f>'05_ZŠ Kosmonautů'!J16</f>
        <v>234016</v>
      </c>
      <c r="J21" s="250">
        <f t="shared" si="1"/>
        <v>5579.9136841603276</v>
      </c>
      <c r="K21" s="273" t="s">
        <v>127</v>
      </c>
      <c r="L21" s="468" t="s">
        <v>127</v>
      </c>
      <c r="M21" s="254" t="e">
        <f t="shared" si="5"/>
        <v>#VALUE!</v>
      </c>
      <c r="N21" s="251">
        <f>'05_ZŠ Kosmonautů'!AB16</f>
        <v>863</v>
      </c>
      <c r="O21" s="503">
        <f>'05_ZŠ Kosmonautů'!AC16</f>
        <v>97046.06</v>
      </c>
      <c r="P21" s="264">
        <f t="shared" si="3"/>
        <v>112.45198146002318</v>
      </c>
    </row>
    <row r="22" spans="1:16" ht="15.75" thickBot="1">
      <c r="A22" s="1234"/>
      <c r="B22" s="1237"/>
      <c r="C22" s="326">
        <v>2022</v>
      </c>
      <c r="D22" s="490">
        <f t="shared" si="4"/>
        <v>1582.0308</v>
      </c>
      <c r="E22" s="332">
        <f>'05_ZŠ Kosmonautů'!S16/1000</f>
        <v>439.45299999999997</v>
      </c>
      <c r="F22" s="491">
        <f>'05_ZŠ Kosmonautů'!T16</f>
        <v>1578738.39</v>
      </c>
      <c r="G22" s="499">
        <f t="shared" si="0"/>
        <v>997.9188711117381</v>
      </c>
      <c r="H22" s="332">
        <f>'05_ZŠ Kosmonautů'!K16/1000</f>
        <v>47.238999999999997</v>
      </c>
      <c r="I22" s="1023">
        <f>'05_ZŠ Kosmonautů'!L16</f>
        <v>267353</v>
      </c>
      <c r="J22" s="265">
        <f t="shared" si="1"/>
        <v>5659.5821249391392</v>
      </c>
      <c r="K22" s="336"/>
      <c r="L22" s="469"/>
      <c r="M22" s="337"/>
      <c r="N22" s="530">
        <f>'05_ZŠ Kosmonautů'!AD16</f>
        <v>723</v>
      </c>
      <c r="O22" s="550">
        <f>'05_ZŠ Kosmonautů'!AE16</f>
        <v>81303.516999999993</v>
      </c>
      <c r="P22" s="264">
        <f t="shared" si="3"/>
        <v>112.45299723374826</v>
      </c>
    </row>
    <row r="23" spans="1:16">
      <c r="A23" s="1232">
        <v>6</v>
      </c>
      <c r="B23" s="1235" t="s">
        <v>14</v>
      </c>
      <c r="C23" s="259">
        <v>2019</v>
      </c>
      <c r="D23" s="257"/>
      <c r="E23" s="632"/>
      <c r="F23" s="514"/>
      <c r="G23" s="258"/>
      <c r="H23" s="260">
        <f>('06_MŠ Kosmonautů'!C16)/1000</f>
        <v>14.988</v>
      </c>
      <c r="I23" s="482">
        <f>'06_MŠ Kosmonautů'!D16</f>
        <v>79172</v>
      </c>
      <c r="J23" s="256">
        <f t="shared" si="1"/>
        <v>5282.3592207099018</v>
      </c>
      <c r="K23" s="272" t="s">
        <v>127</v>
      </c>
      <c r="L23" s="467" t="s">
        <v>127</v>
      </c>
      <c r="M23" s="293" t="e">
        <f t="shared" si="5"/>
        <v>#VALUE!</v>
      </c>
      <c r="N23" s="262">
        <f>'06_MŠ Kosmonautů'!V16</f>
        <v>416</v>
      </c>
      <c r="O23" s="502">
        <f>'06_MŠ Kosmonautů'!W16</f>
        <v>41415.093000000001</v>
      </c>
      <c r="P23" s="263">
        <f t="shared" si="3"/>
        <v>99.555512019230775</v>
      </c>
    </row>
    <row r="24" spans="1:16">
      <c r="A24" s="1233"/>
      <c r="B24" s="1236"/>
      <c r="C24" s="12">
        <v>2020</v>
      </c>
      <c r="D24" s="251">
        <f t="shared" si="4"/>
        <v>425.5992</v>
      </c>
      <c r="E24" s="253">
        <f>('06_MŠ Kosmonautů'!O16)/1000</f>
        <v>118.22199999999999</v>
      </c>
      <c r="F24" s="480">
        <f>'06_MŠ Kosmonautů'!P16</f>
        <v>255756</v>
      </c>
      <c r="G24" s="252">
        <f t="shared" si="0"/>
        <v>600.93158069845992</v>
      </c>
      <c r="H24" s="253">
        <f>('06_MŠ Kosmonautů'!F16)/1000</f>
        <v>11.702999999999999</v>
      </c>
      <c r="I24" s="483">
        <f>'06_MŠ Kosmonautů'!G16</f>
        <v>65072</v>
      </c>
      <c r="J24" s="250">
        <f t="shared" si="1"/>
        <v>5560.2836879432625</v>
      </c>
      <c r="K24" s="273" t="s">
        <v>127</v>
      </c>
      <c r="L24" s="468" t="s">
        <v>127</v>
      </c>
      <c r="M24" s="254" t="e">
        <f t="shared" si="5"/>
        <v>#VALUE!</v>
      </c>
      <c r="N24" s="516">
        <f>'06_MŠ Kosmonautů'!Y16</f>
        <v>252</v>
      </c>
      <c r="O24" s="518">
        <f>'06_MŠ Kosmonautů'!Z16</f>
        <v>41810.635500000004</v>
      </c>
      <c r="P24" s="264">
        <f t="shared" si="3"/>
        <v>165.91522023809526</v>
      </c>
    </row>
    <row r="25" spans="1:16">
      <c r="A25" s="1233"/>
      <c r="B25" s="1236"/>
      <c r="C25" s="12">
        <v>2021</v>
      </c>
      <c r="D25" s="251">
        <f t="shared" si="4"/>
        <v>466.99920000000003</v>
      </c>
      <c r="E25" s="253">
        <f>('06_MŠ Kosmonautů'!Q16)/1000</f>
        <v>129.72200000000001</v>
      </c>
      <c r="F25" s="480">
        <f>'06_MŠ Kosmonautů'!R16</f>
        <v>275984</v>
      </c>
      <c r="G25" s="252">
        <f t="shared" si="0"/>
        <v>590.97317511464689</v>
      </c>
      <c r="H25" s="533">
        <f>('06_MŠ Kosmonautů'!I16)/1000</f>
        <v>12.678000000000001</v>
      </c>
      <c r="I25" s="497">
        <f>'06_MŠ Kosmonautů'!J16</f>
        <v>76245</v>
      </c>
      <c r="J25" s="250">
        <f t="shared" si="1"/>
        <v>6013.9611926171319</v>
      </c>
      <c r="K25" s="273" t="s">
        <v>127</v>
      </c>
      <c r="L25" s="468" t="s">
        <v>127</v>
      </c>
      <c r="M25" s="254" t="e">
        <f t="shared" si="5"/>
        <v>#VALUE!</v>
      </c>
      <c r="N25" s="516">
        <f>'06_MŠ Kosmonautů'!AB16</f>
        <v>294</v>
      </c>
      <c r="O25" s="518">
        <f>'06_MŠ Kosmonautů'!AC16</f>
        <v>33910.29</v>
      </c>
      <c r="P25" s="264">
        <f t="shared" si="3"/>
        <v>115.34112244897959</v>
      </c>
    </row>
    <row r="26" spans="1:16" ht="15.75" thickBot="1">
      <c r="A26" s="1234"/>
      <c r="B26" s="1237"/>
      <c r="C26" s="326">
        <v>2022</v>
      </c>
      <c r="D26" s="490">
        <f t="shared" si="4"/>
        <v>421.14240000000001</v>
      </c>
      <c r="E26" s="332">
        <f>'06_MŠ Kosmonautů'!S16/1000</f>
        <v>116.98399999999999</v>
      </c>
      <c r="F26" s="491">
        <f>'06_MŠ Kosmonautů'!T16</f>
        <v>420268</v>
      </c>
      <c r="G26" s="499">
        <f t="shared" si="0"/>
        <v>997.92374265806529</v>
      </c>
      <c r="H26" s="534">
        <f>'06_MŠ Kosmonautů'!K16/1000</f>
        <v>12.86</v>
      </c>
      <c r="I26" s="1023">
        <f>'06_MŠ Kosmonautů'!L16</f>
        <v>80724</v>
      </c>
      <c r="J26" s="265">
        <f t="shared" si="1"/>
        <v>6277.1384136858478</v>
      </c>
      <c r="K26" s="336"/>
      <c r="L26" s="469"/>
      <c r="M26" s="337"/>
      <c r="N26" s="530">
        <f>'06_MŠ Kosmonautů'!AD16</f>
        <v>377</v>
      </c>
      <c r="O26" s="550">
        <f>'06_MŠ Kosmonautů'!AE16</f>
        <v>42394.777999999998</v>
      </c>
      <c r="P26" s="264">
        <f t="shared" si="3"/>
        <v>112.45299204244031</v>
      </c>
    </row>
    <row r="27" spans="1:16">
      <c r="A27" s="1232">
        <v>7</v>
      </c>
      <c r="B27" s="1235" t="s">
        <v>15</v>
      </c>
      <c r="C27" s="259">
        <v>2019</v>
      </c>
      <c r="D27" s="257">
        <f t="shared" si="4"/>
        <v>1380.4992</v>
      </c>
      <c r="E27" s="260">
        <f>('07_ŠJ Sládkova'!M16)/1000</f>
        <v>383.47199999999998</v>
      </c>
      <c r="F27" s="479">
        <f>'07_ŠJ Sládkova'!N16</f>
        <v>874543</v>
      </c>
      <c r="G27" s="258">
        <f t="shared" si="0"/>
        <v>633.49765070490446</v>
      </c>
      <c r="H27" s="260">
        <f>('07_ŠJ Sládkova'!C16)/1000</f>
        <v>145.428</v>
      </c>
      <c r="I27" s="482">
        <f>'07_ŠJ Sládkova'!D16</f>
        <v>679520</v>
      </c>
      <c r="J27" s="256">
        <f t="shared" si="1"/>
        <v>4672.5527408752096</v>
      </c>
      <c r="K27" s="271">
        <f>('07_ŠJ Sládkova'!V16)/1000</f>
        <v>78.677170000000004</v>
      </c>
      <c r="L27" s="470">
        <f>'07_ŠJ Sládkova'!W16</f>
        <v>93705.73</v>
      </c>
      <c r="M27" s="544">
        <f t="shared" si="5"/>
        <v>1191.015513140597</v>
      </c>
      <c r="N27" s="262">
        <f>'07_ŠJ Sládkova'!AG16</f>
        <v>2404</v>
      </c>
      <c r="O27" s="502">
        <f>'07_ŠJ Sládkova'!AH16</f>
        <v>239331.4</v>
      </c>
      <c r="P27" s="263">
        <f t="shared" si="3"/>
        <v>99.555490848585691</v>
      </c>
    </row>
    <row r="28" spans="1:16">
      <c r="A28" s="1233"/>
      <c r="B28" s="1236"/>
      <c r="C28" s="12">
        <v>2020</v>
      </c>
      <c r="D28" s="251">
        <f t="shared" si="4"/>
        <v>1331.7912000000001</v>
      </c>
      <c r="E28" s="253">
        <f>('07_ŠJ Sládkova'!O16)/1000</f>
        <v>369.94200000000001</v>
      </c>
      <c r="F28" s="480">
        <f>'07_ŠJ Sládkova'!P16</f>
        <v>800313</v>
      </c>
      <c r="G28" s="252">
        <f t="shared" si="0"/>
        <v>600.92978538978173</v>
      </c>
      <c r="H28" s="533">
        <f>('07_ŠJ Sládkova'!F16)/1000</f>
        <v>106.18</v>
      </c>
      <c r="I28" s="497">
        <f>'07_ŠJ Sládkova'!G16</f>
        <v>506671</v>
      </c>
      <c r="J28" s="250">
        <f t="shared" si="1"/>
        <v>4771.8120173290636</v>
      </c>
      <c r="K28" s="223">
        <f>('07_ŠJ Sládkova'!Y16)/1000</f>
        <v>69.819000000000003</v>
      </c>
      <c r="L28" s="466">
        <f>'07_ŠJ Sládkova'!Z16</f>
        <v>69337.399999999994</v>
      </c>
      <c r="M28" s="545">
        <f t="shared" si="5"/>
        <v>993.10216416734693</v>
      </c>
      <c r="N28" s="251">
        <f>'07_ŠJ Sládkova'!AJ16</f>
        <v>1994</v>
      </c>
      <c r="O28" s="503">
        <f>'07_ŠJ Sládkova'!AK16</f>
        <v>206084.45</v>
      </c>
      <c r="P28" s="264">
        <f t="shared" si="3"/>
        <v>103.35228184553661</v>
      </c>
    </row>
    <row r="29" spans="1:16">
      <c r="A29" s="1233"/>
      <c r="B29" s="1236"/>
      <c r="C29" s="12">
        <v>2021</v>
      </c>
      <c r="D29" s="251">
        <f t="shared" si="4"/>
        <v>1509.9984000000002</v>
      </c>
      <c r="E29" s="253">
        <f>('07_ŠJ Sládkova'!Q16)/1000</f>
        <v>419.44400000000002</v>
      </c>
      <c r="F29" s="480">
        <f>'07_ŠJ Sládkova'!R16</f>
        <v>892478</v>
      </c>
      <c r="G29" s="252">
        <f t="shared" si="0"/>
        <v>591.04565938612905</v>
      </c>
      <c r="H29" s="533">
        <f>('07_ŠJ Sládkova'!I16)/1000</f>
        <v>10.124000000000001</v>
      </c>
      <c r="I29" s="497">
        <f>'07_ŠJ Sládkova'!J16</f>
        <v>53567</v>
      </c>
      <c r="J29" s="250">
        <f t="shared" si="1"/>
        <v>5291.0904780719084</v>
      </c>
      <c r="K29" s="223">
        <f>('07_ŠJ Sládkova'!AB16)/1000</f>
        <v>80.975719999999995</v>
      </c>
      <c r="L29" s="500">
        <f>'07_ŠJ Sládkova'!AC16</f>
        <v>66174.98000000001</v>
      </c>
      <c r="M29" s="546">
        <f>L29/K29</f>
        <v>817.22002595345884</v>
      </c>
      <c r="N29" s="516">
        <f>'07_ŠJ Sládkova'!AM16</f>
        <v>1183.73</v>
      </c>
      <c r="O29" s="518">
        <f>'07_ŠJ Sládkova'!AN16</f>
        <v>203708.84</v>
      </c>
      <c r="P29" s="264">
        <f t="shared" si="3"/>
        <v>172.09062877514299</v>
      </c>
    </row>
    <row r="30" spans="1:16" ht="15.75" thickBot="1">
      <c r="A30" s="1234"/>
      <c r="B30" s="1237"/>
      <c r="C30" s="326">
        <v>2022</v>
      </c>
      <c r="D30" s="490">
        <f t="shared" si="4"/>
        <v>1375.1496</v>
      </c>
      <c r="E30" s="332">
        <f>'07_ŠJ Sládkova'!S16/1000</f>
        <v>381.98599999999999</v>
      </c>
      <c r="F30" s="491">
        <f>'07_ŠJ Sládkova'!T16</f>
        <v>1372289.69</v>
      </c>
      <c r="G30" s="499">
        <f t="shared" si="0"/>
        <v>997.92029172680554</v>
      </c>
      <c r="H30" s="534">
        <f>'07_ŠJ Sládkova'!K16/1000</f>
        <v>134.233</v>
      </c>
      <c r="I30" s="1023">
        <f>'07_ŠJ Sládkova'!L16</f>
        <v>707369.31099999999</v>
      </c>
      <c r="J30" s="265">
        <f t="shared" si="1"/>
        <v>5269.7124477587477</v>
      </c>
      <c r="K30" s="333">
        <f>'07_ŠJ Sládkova'!AD16/1000</f>
        <v>79.649639999999991</v>
      </c>
      <c r="L30" s="501">
        <f>'07_ŠJ Sládkova'!AE16</f>
        <v>66060.673999999999</v>
      </c>
      <c r="M30" s="547">
        <f>L30/K30</f>
        <v>829.39074175350959</v>
      </c>
      <c r="N30" s="540">
        <f>'07_ŠJ Sládkova'!AO16</f>
        <v>2097</v>
      </c>
      <c r="O30" s="541">
        <f>'07_ŠJ Sládkova'!AP16</f>
        <v>235813.93800000002</v>
      </c>
      <c r="P30" s="335"/>
    </row>
    <row r="31" spans="1:16">
      <c r="A31" s="1232">
        <v>8</v>
      </c>
      <c r="B31" s="1235" t="s">
        <v>16</v>
      </c>
      <c r="C31" s="259">
        <v>2019</v>
      </c>
      <c r="D31" s="257">
        <f t="shared" si="4"/>
        <v>1713.9996000000001</v>
      </c>
      <c r="E31" s="260">
        <f>('08_Městské divadlo'!M16)/1000</f>
        <v>476.11099999999999</v>
      </c>
      <c r="F31" s="479">
        <f>'08_Městské divadlo'!N16</f>
        <v>1085635</v>
      </c>
      <c r="G31" s="258">
        <f t="shared" si="0"/>
        <v>633.39279659108433</v>
      </c>
      <c r="H31" s="260">
        <f>('08_Městské divadlo'!C16)/1000</f>
        <v>39.744</v>
      </c>
      <c r="I31" s="482">
        <f>('08_Městské divadlo'!D16)</f>
        <v>166365</v>
      </c>
      <c r="J31" s="256">
        <f t="shared" si="1"/>
        <v>4185.914855072464</v>
      </c>
      <c r="K31" s="272" t="s">
        <v>127</v>
      </c>
      <c r="L31" s="467" t="s">
        <v>127</v>
      </c>
      <c r="M31" s="293" t="e">
        <f t="shared" si="5"/>
        <v>#VALUE!</v>
      </c>
      <c r="N31" s="262">
        <f>'08_Městské divadlo'!V16</f>
        <v>714</v>
      </c>
      <c r="O31" s="502">
        <f>'08_Městské divadlo'!W16</f>
        <v>87592</v>
      </c>
      <c r="P31" s="263">
        <f t="shared" si="3"/>
        <v>122.67787114845939</v>
      </c>
    </row>
    <row r="32" spans="1:16">
      <c r="A32" s="1233"/>
      <c r="B32" s="1236"/>
      <c r="C32" s="12">
        <v>2020</v>
      </c>
      <c r="D32" s="251">
        <f t="shared" si="4"/>
        <v>1730.0016000000001</v>
      </c>
      <c r="E32" s="253">
        <f>('08_Městské divadlo'!O16)/1000</f>
        <v>480.55599999999998</v>
      </c>
      <c r="F32" s="480">
        <f>'08_Městské divadlo'!P16</f>
        <v>1039903</v>
      </c>
      <c r="G32" s="252">
        <f t="shared" si="0"/>
        <v>601.09944406987825</v>
      </c>
      <c r="H32" s="253">
        <f>('08_Městské divadlo'!F16)/1000</f>
        <v>45.954999999999998</v>
      </c>
      <c r="I32" s="483">
        <f>('08_Městské divadlo'!G16)</f>
        <v>171843</v>
      </c>
      <c r="J32" s="250">
        <f t="shared" si="1"/>
        <v>3739.3754760091397</v>
      </c>
      <c r="K32" s="273" t="s">
        <v>127</v>
      </c>
      <c r="L32" s="468" t="s">
        <v>127</v>
      </c>
      <c r="M32" s="254" t="e">
        <f t="shared" si="5"/>
        <v>#VALUE!</v>
      </c>
      <c r="N32" s="251">
        <f>'08_Městské divadlo'!Y16</f>
        <v>177</v>
      </c>
      <c r="O32" s="503">
        <f>'08_Městské divadlo'!Z16</f>
        <v>34973</v>
      </c>
      <c r="P32" s="264">
        <f t="shared" si="3"/>
        <v>197.58757062146893</v>
      </c>
    </row>
    <row r="33" spans="1:17">
      <c r="A33" s="1233"/>
      <c r="B33" s="1236"/>
      <c r="C33" s="12">
        <v>2021</v>
      </c>
      <c r="D33" s="251">
        <f t="shared" si="4"/>
        <v>1775.9988000000001</v>
      </c>
      <c r="E33" s="253">
        <f>('08_Městské divadlo'!Q16)/1000</f>
        <v>493.33300000000003</v>
      </c>
      <c r="F33" s="480">
        <f>'08_Městské divadlo'!R16</f>
        <v>1049893</v>
      </c>
      <c r="G33" s="252">
        <f t="shared" si="0"/>
        <v>591.15636789844677</v>
      </c>
      <c r="H33" s="253">
        <f>('08_Městské divadlo'!I16)/1000</f>
        <v>97.174999999999997</v>
      </c>
      <c r="I33" s="497">
        <f>('08_Městské divadlo'!J16)</f>
        <v>409827</v>
      </c>
      <c r="J33" s="250">
        <f t="shared" si="1"/>
        <v>4217.41188577309</v>
      </c>
      <c r="K33" s="273" t="s">
        <v>127</v>
      </c>
      <c r="L33" s="468" t="s">
        <v>127</v>
      </c>
      <c r="M33" s="254" t="e">
        <f t="shared" si="5"/>
        <v>#VALUE!</v>
      </c>
      <c r="N33" s="516">
        <f>'08_Městské divadlo'!AB16</f>
        <v>419</v>
      </c>
      <c r="O33" s="517">
        <f>'08_Městské divadlo'!AC16</f>
        <v>61139.75</v>
      </c>
      <c r="P33" s="264">
        <f t="shared" si="3"/>
        <v>145.91825775656324</v>
      </c>
    </row>
    <row r="34" spans="1:17" ht="15.75" thickBot="1">
      <c r="A34" s="1234"/>
      <c r="B34" s="1237"/>
      <c r="C34" s="296">
        <v>2022</v>
      </c>
      <c r="D34" s="490">
        <f t="shared" si="4"/>
        <v>1467.8316</v>
      </c>
      <c r="E34" s="297">
        <f>'08_Městské divadlo'!S16/1000</f>
        <v>407.73099999999999</v>
      </c>
      <c r="F34" s="481">
        <f>'08_Městské divadlo'!T16</f>
        <v>1464776</v>
      </c>
      <c r="G34" s="499">
        <f t="shared" si="0"/>
        <v>997.91828980926698</v>
      </c>
      <c r="H34" s="612">
        <f>'08_Městské divadlo'!K16/1000</f>
        <v>61.527999999999999</v>
      </c>
      <c r="I34" s="1027">
        <f>'08_Městské divadlo'!L16</f>
        <v>277721.49</v>
      </c>
      <c r="J34" s="265">
        <f t="shared" si="1"/>
        <v>4513.7415485632555</v>
      </c>
      <c r="K34" s="338"/>
      <c r="L34" s="471"/>
      <c r="M34" s="339"/>
      <c r="N34" s="519">
        <f>'08_Městské divadlo'!AD16</f>
        <v>404</v>
      </c>
      <c r="O34" s="527">
        <f>'08_Městské divadlo'!AE16</f>
        <v>64732</v>
      </c>
      <c r="P34" s="335"/>
    </row>
    <row r="35" spans="1:17">
      <c r="A35" s="1232">
        <v>9</v>
      </c>
      <c r="B35" s="1235" t="s">
        <v>17</v>
      </c>
      <c r="C35" s="249">
        <v>2019</v>
      </c>
      <c r="D35" s="257">
        <f t="shared" si="4"/>
        <v>3174.8825664000001</v>
      </c>
      <c r="E35" s="255">
        <f>('09_ZŠ Vojanova'!AT16)/1000</f>
        <v>881.91182400000002</v>
      </c>
      <c r="F35" s="495">
        <f>'09_ZŠ Vojanova'!AU16</f>
        <v>1237725.6755402973</v>
      </c>
      <c r="G35" s="258">
        <f t="shared" si="0"/>
        <v>389.84927777777767</v>
      </c>
      <c r="H35" s="613">
        <f>('09_ZŠ Vojanova'!B16+'09_ZŠ Vojanova'!M16+'09_ZŠ Vojanova'!X16+'09_ZŠ Vojanova'!AI16)/1000</f>
        <v>150.20099999999999</v>
      </c>
      <c r="I35" s="614">
        <f>'09_ZŠ Vojanova'!D16+'09_ZŠ Vojanova'!O16+'09_ZŠ Vojanova'!Z16+'09_ZŠ Vojanova'!AK16</f>
        <v>719249.38960000011</v>
      </c>
      <c r="J35" s="256">
        <f t="shared" si="1"/>
        <v>4788.5792344924475</v>
      </c>
      <c r="K35" s="624"/>
      <c r="L35" s="472"/>
      <c r="M35" s="303"/>
      <c r="N35" s="257">
        <f>'09_ZŠ Vojanova'!CS16</f>
        <v>2926</v>
      </c>
      <c r="O35" s="507">
        <f>'09_ZŠ Vojanova'!CT16</f>
        <v>291383</v>
      </c>
      <c r="P35" s="268">
        <f t="shared" si="3"/>
        <v>99.584073820915933</v>
      </c>
      <c r="Q35" s="156"/>
    </row>
    <row r="36" spans="1:17">
      <c r="A36" s="1233"/>
      <c r="B36" s="1236"/>
      <c r="C36" s="12">
        <v>2020</v>
      </c>
      <c r="D36" s="251">
        <f t="shared" si="4"/>
        <v>2908.6163268912001</v>
      </c>
      <c r="E36" s="253">
        <f>('09_ZŠ Vojanova'!AV16)/1000</f>
        <v>807.94897969199997</v>
      </c>
      <c r="F36" s="480">
        <f>'09_ZŠ Vojanova'!AW16</f>
        <v>1027029.7587936495</v>
      </c>
      <c r="G36" s="252">
        <f t="shared" si="0"/>
        <v>353.09908333333323</v>
      </c>
      <c r="H36" s="533">
        <f>('09_ZŠ Vojanova'!F16+'09_ZŠ Vojanova'!Q16+'09_ZŠ Vojanova'!AB16+'09_ZŠ Vojanova'!AM16)/1000</f>
        <v>131.42479999999998</v>
      </c>
      <c r="I36" s="497">
        <f>'09_ZŠ Vojanova'!G16+'09_ZŠ Vojanova'!R16+'09_ZŠ Vojanova'!AC16+'09_ZŠ Vojanova'!AN16</f>
        <v>648170.46920000005</v>
      </c>
      <c r="J36" s="250">
        <f t="shared" si="1"/>
        <v>4931.8733541919046</v>
      </c>
      <c r="K36" s="625"/>
      <c r="L36" s="472"/>
      <c r="M36" s="304"/>
      <c r="N36" s="251">
        <f>'09_ZŠ Vojanova'!CV16</f>
        <v>1991</v>
      </c>
      <c r="O36" s="503">
        <f>'09_ZŠ Vojanova'!CW16</f>
        <v>199815</v>
      </c>
      <c r="P36" s="264">
        <f t="shared" si="3"/>
        <v>100.35911602209944</v>
      </c>
    </row>
    <row r="37" spans="1:17">
      <c r="A37" s="1233"/>
      <c r="B37" s="1236"/>
      <c r="C37" s="12">
        <v>2021</v>
      </c>
      <c r="D37" s="251">
        <f t="shared" si="4"/>
        <v>3097.1624777280003</v>
      </c>
      <c r="E37" s="253">
        <f>('09_ZŠ Vojanova'!AX16)/1000</f>
        <v>860.32291048000013</v>
      </c>
      <c r="F37" s="480">
        <f>'09_ZŠ Vojanova'!AY16</f>
        <v>1093609.7915315779</v>
      </c>
      <c r="G37" s="252">
        <f t="shared" si="0"/>
        <v>353.10055555555556</v>
      </c>
      <c r="H37" s="533">
        <f>('09_ZŠ Vojanova'!I16+'09_ZŠ Vojanova'!T16+'09_ZŠ Vojanova'!AE16+'09_ZŠ Vojanova'!AP16)/1000</f>
        <v>107.191</v>
      </c>
      <c r="I37" s="497">
        <f>'09_ZŠ Vojanova'!J16+'09_ZŠ Vojanova'!U16+'09_ZŠ Vojanova'!AF16+'09_ZŠ Vojanova'!AQ16</f>
        <v>586444.03900000011</v>
      </c>
      <c r="J37" s="250">
        <f t="shared" si="1"/>
        <v>5471.0193859559113</v>
      </c>
      <c r="K37" s="627">
        <f>('09_ZŠ Vojanova'!BI16+'09_ZŠ Vojanova'!BT16+'09_ZŠ Vojanova'!CE16+'09_ZŠ Vojanova'!CP16)/1000</f>
        <v>6.62575</v>
      </c>
      <c r="L37" s="628">
        <f>'09_ZŠ Vojanova'!BJ16+'09_ZŠ Vojanova'!BU16+'09_ZŠ Vojanova'!CF16+'09_ZŠ Vojanova'!CQ16</f>
        <v>9969.6643999999997</v>
      </c>
      <c r="M37" s="298">
        <f t="shared" si="5"/>
        <v>1504.6846621137229</v>
      </c>
      <c r="N37" s="251">
        <f>'09_ZŠ Vojanova'!CY16</f>
        <v>1869</v>
      </c>
      <c r="O37" s="503">
        <f>'09_ZŠ Vojanova'!CZ16</f>
        <v>195962</v>
      </c>
      <c r="P37" s="264">
        <f t="shared" si="3"/>
        <v>104.848582129481</v>
      </c>
    </row>
    <row r="38" spans="1:17" ht="15.75" thickBot="1">
      <c r="A38" s="1234"/>
      <c r="B38" s="1237"/>
      <c r="C38" s="326">
        <v>2022</v>
      </c>
      <c r="D38" s="490">
        <f t="shared" si="4"/>
        <v>2588.7492000000002</v>
      </c>
      <c r="E38" s="332">
        <f>'09_ZŠ Vojanova'!AZ16/1000</f>
        <v>719.09699999999998</v>
      </c>
      <c r="F38" s="491">
        <f>'09_ZŠ Vojanova'!BA16</f>
        <v>2018966</v>
      </c>
      <c r="G38" s="499">
        <f t="shared" si="0"/>
        <v>779.90019272627876</v>
      </c>
      <c r="H38" s="534">
        <f>('09_ZŠ Vojanova'!K16+'09_ZŠ Vojanova'!V16+'09_ZŠ Vojanova'!AG16+'09_ZŠ Vojanova'!AR16)/1000</f>
        <v>130.28899999999999</v>
      </c>
      <c r="I38" s="1023">
        <f>'09_ZŠ Vojanova'!L16+'09_ZŠ Vojanova'!W16+'09_ZŠ Vojanova'!AH16+'09_ZŠ Vojanova'!AS16</f>
        <v>687343.52</v>
      </c>
      <c r="J38" s="265">
        <f t="shared" si="1"/>
        <v>5275.5299372932486</v>
      </c>
      <c r="K38" s="629">
        <f>('09_ZŠ Vojanova'!BK16+'09_ZŠ Vojanova'!BV16+'09_ZŠ Vojanova'!CG16)/1000</f>
        <v>5.8935000000000004</v>
      </c>
      <c r="L38" s="630">
        <f>'09_ZŠ Vojanova'!BL16+'09_ZŠ Vojanova'!BW16+'09_ZŠ Vojanova'!CH16</f>
        <v>9958.3017</v>
      </c>
      <c r="M38" s="509">
        <f t="shared" si="5"/>
        <v>1689.7092898956475</v>
      </c>
      <c r="N38" s="334">
        <f>'09_ZŠ Vojanova'!DA16</f>
        <v>2200</v>
      </c>
      <c r="O38" s="504">
        <f>'09_ZŠ Vojanova'!DB16</f>
        <v>247339</v>
      </c>
      <c r="P38" s="335"/>
    </row>
    <row r="39" spans="1:17">
      <c r="A39" s="1232">
        <v>10</v>
      </c>
      <c r="B39" s="1235" t="s">
        <v>18</v>
      </c>
      <c r="C39" s="259">
        <v>2019</v>
      </c>
      <c r="D39" s="257">
        <f t="shared" si="4"/>
        <v>1235.4988320000002</v>
      </c>
      <c r="E39" s="260">
        <f>('10_MŠ Riegrova'!AI16)/1000</f>
        <v>343.19412000000005</v>
      </c>
      <c r="F39" s="479">
        <f>'10_MŠ Riegrova'!AJ16</f>
        <v>783464.73</v>
      </c>
      <c r="G39" s="258">
        <f t="shared" si="0"/>
        <v>634.12826439644891</v>
      </c>
      <c r="H39" s="260">
        <f>('10_MŠ Riegrova'!C16+'10_MŠ Riegrova'!N16+'10_MŠ Riegrova'!Y16)/1000</f>
        <v>35.080350000000003</v>
      </c>
      <c r="I39" s="482">
        <f>'10_MŠ Riegrova'!D16+'10_MŠ Riegrova'!O16+'10_MŠ Riegrova'!Z16</f>
        <v>176457.1072</v>
      </c>
      <c r="J39" s="256">
        <f t="shared" si="1"/>
        <v>5030.0839985918037</v>
      </c>
      <c r="K39" s="271">
        <f>('10_MŠ Riegrova'!AQ16)/1000</f>
        <v>12.5298</v>
      </c>
      <c r="L39" s="470">
        <f>'10_MŠ Riegrova'!AS16</f>
        <v>19831.13</v>
      </c>
      <c r="M39" s="262">
        <f t="shared" si="5"/>
        <v>1582.7172021899792</v>
      </c>
      <c r="N39" s="262">
        <f>'10_MŠ Riegrova'!BC16</f>
        <v>1577</v>
      </c>
      <c r="O39" s="502">
        <f>'10_MŠ Riegrova'!BD16</f>
        <v>156999.01999999999</v>
      </c>
      <c r="P39" s="263">
        <f t="shared" si="3"/>
        <v>99.555497780596056</v>
      </c>
    </row>
    <row r="40" spans="1:17">
      <c r="A40" s="1233"/>
      <c r="B40" s="1236"/>
      <c r="C40" s="12">
        <v>2020</v>
      </c>
      <c r="D40" s="251">
        <f t="shared" si="4"/>
        <v>1205.2096416000002</v>
      </c>
      <c r="E40" s="253">
        <f>('10_MŠ Riegrova'!AK16)/1000</f>
        <v>334.78045600000002</v>
      </c>
      <c r="F40" s="480">
        <f>'10_MŠ Riegrova'!AL16</f>
        <v>729875.14</v>
      </c>
      <c r="G40" s="252">
        <f t="shared" si="0"/>
        <v>605.60015022037135</v>
      </c>
      <c r="H40" s="253">
        <f>('10_MŠ Riegrova'!F16+'10_MŠ Riegrova'!Q16+'10_MŠ Riegrova'!AB16)/1000</f>
        <v>32.505600000000001</v>
      </c>
      <c r="I40" s="483">
        <f>'10_MŠ Riegrova'!G16+'10_MŠ Riegrova'!R16+'10_MŠ Riegrova'!AC16</f>
        <v>162987.4589</v>
      </c>
      <c r="J40" s="250">
        <f t="shared" si="1"/>
        <v>5014.1347613949592</v>
      </c>
      <c r="K40" s="301">
        <f>('10_MŠ Riegrova'!AU16)/1000</f>
        <v>12.664999999999999</v>
      </c>
      <c r="L40" s="473">
        <f>'10_MŠ Riegrova'!AV16</f>
        <v>14621.77</v>
      </c>
      <c r="M40" s="302">
        <f t="shared" si="5"/>
        <v>1154.5021713383342</v>
      </c>
      <c r="N40" s="251">
        <f>'10_MŠ Riegrova'!BF16</f>
        <v>1193</v>
      </c>
      <c r="O40" s="503">
        <f>'10_MŠ Riegrova'!BG16</f>
        <v>119823.057</v>
      </c>
      <c r="P40" s="264">
        <f t="shared" si="3"/>
        <v>100.43843839061191</v>
      </c>
    </row>
    <row r="41" spans="1:17">
      <c r="A41" s="1233"/>
      <c r="B41" s="1236"/>
      <c r="C41" s="12">
        <v>2021</v>
      </c>
      <c r="D41" s="251">
        <f t="shared" si="4"/>
        <v>1331.3026503359997</v>
      </c>
      <c r="E41" s="253">
        <f>('10_MŠ Riegrova'!AM16)/1000</f>
        <v>369.80629175999991</v>
      </c>
      <c r="F41" s="480">
        <f>'10_MŠ Riegrova'!AN16</f>
        <v>786833.51</v>
      </c>
      <c r="G41" s="252">
        <f t="shared" si="0"/>
        <v>591.02527122695631</v>
      </c>
      <c r="H41" s="253">
        <f>('10_MŠ Riegrova'!I16+'10_MŠ Riegrova'!T16+'10_MŠ Riegrova'!AE16)/1000</f>
        <v>31.488</v>
      </c>
      <c r="I41" s="497">
        <f>'10_MŠ Riegrova'!J16+'10_MŠ Riegrova'!U16+'10_MŠ Riegrova'!AF16</f>
        <v>173292.37250000003</v>
      </c>
      <c r="J41" s="250">
        <f t="shared" si="1"/>
        <v>5503.4417079522364</v>
      </c>
      <c r="K41" s="223">
        <f>('10_MŠ Riegrova'!AX16)/1000</f>
        <v>14.838649999999999</v>
      </c>
      <c r="L41" s="500">
        <f>'10_MŠ Riegrova'!AY16</f>
        <v>14278.585999999999</v>
      </c>
      <c r="M41" s="251">
        <f t="shared" si="5"/>
        <v>962.25640472684506</v>
      </c>
      <c r="N41" s="516">
        <f>'10_MŠ Riegrova'!BI16</f>
        <v>1082</v>
      </c>
      <c r="O41" s="518">
        <f>'10_MŠ Riegrova'!BJ16</f>
        <v>113354.65</v>
      </c>
      <c r="P41" s="264">
        <f t="shared" si="3"/>
        <v>104.76400184842883</v>
      </c>
    </row>
    <row r="42" spans="1:17" ht="15.75" thickBot="1">
      <c r="A42" s="1234"/>
      <c r="B42" s="1237"/>
      <c r="C42" s="296">
        <v>2022</v>
      </c>
      <c r="D42" s="490">
        <f t="shared" si="4"/>
        <v>1198.0008</v>
      </c>
      <c r="E42" s="297">
        <f>'10_MŠ Riegrova'!AO16/1000</f>
        <v>332.77800000000002</v>
      </c>
      <c r="F42" s="485">
        <f>'10_MŠ Riegrova'!AP16</f>
        <v>1196203</v>
      </c>
      <c r="G42" s="499">
        <f t="shared" si="0"/>
        <v>998.49933322248194</v>
      </c>
      <c r="H42" s="297">
        <f>('10_MŠ Riegrova'!K16+'10_MŠ Riegrova'!V16+'10_MŠ Riegrova'!AG16)/1000</f>
        <v>32.682000000000002</v>
      </c>
      <c r="I42" s="485">
        <f>'10_MŠ Riegrova'!L16+'10_MŠ Riegrova'!W16+'10_MŠ Riegrova'!AH16</f>
        <v>158339.51999999999</v>
      </c>
      <c r="J42" s="265">
        <f t="shared" si="1"/>
        <v>4844.8540480998709</v>
      </c>
      <c r="K42" s="341">
        <f>'10_MŠ Riegrova'!AZ16/1000</f>
        <v>13.71228</v>
      </c>
      <c r="L42" s="477">
        <f>'10_MŠ Riegrova'!BA16</f>
        <v>13472.506000000001</v>
      </c>
      <c r="M42" s="340"/>
      <c r="N42" s="342">
        <f>'10_MŠ Riegrova'!BK16</f>
        <v>985</v>
      </c>
      <c r="O42" s="510">
        <f>'10_MŠ Riegrova'!BL16</f>
        <v>110766.2</v>
      </c>
      <c r="P42" s="343"/>
      <c r="Q42" t="s">
        <v>155</v>
      </c>
    </row>
    <row r="43" spans="1:17">
      <c r="A43" s="1232">
        <v>11</v>
      </c>
      <c r="B43" s="1235" t="s">
        <v>19</v>
      </c>
      <c r="C43" s="249">
        <v>2019</v>
      </c>
      <c r="D43" s="257">
        <f t="shared" si="4"/>
        <v>3736.9871999999996</v>
      </c>
      <c r="E43" s="255">
        <f>('11_ZŠ Míru'!AJ16+'11_ZŠ Míru'!AU16)/1000</f>
        <v>1038.0519999999999</v>
      </c>
      <c r="F43" s="495">
        <f>'11_ZŠ Míru'!AK16+'11_ZŠ Míru'!AV16</f>
        <v>2368024.4</v>
      </c>
      <c r="G43" s="258">
        <f t="shared" si="0"/>
        <v>633.67206609645336</v>
      </c>
      <c r="H43" s="255">
        <f>('11_ZŠ Míru'!C16+'11_ZŠ Míru'!N16+'11_ZŠ Míru'!Y16)/1000</f>
        <v>98.444999999999993</v>
      </c>
      <c r="I43" s="486">
        <f>'11_ZŠ Míru'!D16+'11_ZŠ Míru'!O16+'11_ZŠ Míru'!Z16</f>
        <v>470058.28850000002</v>
      </c>
      <c r="J43" s="256">
        <f t="shared" si="1"/>
        <v>4774.8315150591707</v>
      </c>
      <c r="K43" s="274" t="s">
        <v>127</v>
      </c>
      <c r="L43" s="474" t="s">
        <v>127</v>
      </c>
      <c r="M43" s="267" t="e">
        <f>L43/K43</f>
        <v>#VALUE!</v>
      </c>
      <c r="N43" s="257">
        <v>1307</v>
      </c>
      <c r="O43" s="507">
        <v>271886</v>
      </c>
      <c r="P43" s="268">
        <f t="shared" si="3"/>
        <v>208.0229533282326</v>
      </c>
      <c r="Q43" s="207"/>
    </row>
    <row r="44" spans="1:17">
      <c r="A44" s="1233"/>
      <c r="B44" s="1236"/>
      <c r="C44" s="12">
        <v>2020</v>
      </c>
      <c r="D44" s="251">
        <f t="shared" si="4"/>
        <v>3298.0363199999997</v>
      </c>
      <c r="E44" s="253">
        <f>('11_ZŠ Míru'!AM16+'11_ZŠ Míru'!AX16)/1000</f>
        <v>916.12119999999993</v>
      </c>
      <c r="F44" s="480">
        <f>'11_ZŠ Míru'!AN16+'11_ZŠ Míru'!AY16</f>
        <v>1995710.7199999997</v>
      </c>
      <c r="G44" s="252">
        <f t="shared" si="0"/>
        <v>605.1209041870103</v>
      </c>
      <c r="H44" s="253">
        <f>('11_ZŠ Míru'!F16+'11_ZŠ Míru'!Q16+'11_ZŠ Míru'!AB16)/1000</f>
        <v>75.902000000000001</v>
      </c>
      <c r="I44" s="483">
        <f>'11_ZŠ Míru'!G16+'11_ZŠ Míru'!R16+'11_ZŠ Míru'!AC16</f>
        <v>384240.17300000001</v>
      </c>
      <c r="J44" s="250">
        <f t="shared" si="1"/>
        <v>5062.3194777476219</v>
      </c>
      <c r="K44" s="273" t="s">
        <v>127</v>
      </c>
      <c r="L44" s="468" t="s">
        <v>127</v>
      </c>
      <c r="M44" s="254" t="e">
        <f t="shared" si="5"/>
        <v>#VALUE!</v>
      </c>
      <c r="N44" s="516">
        <v>1175</v>
      </c>
      <c r="O44" s="518">
        <v>259681</v>
      </c>
      <c r="P44" s="264">
        <f t="shared" si="3"/>
        <v>221.00510638297871</v>
      </c>
      <c r="Q44" s="207"/>
    </row>
    <row r="45" spans="1:17">
      <c r="A45" s="1233"/>
      <c r="B45" s="1236"/>
      <c r="C45" s="12">
        <v>2021</v>
      </c>
      <c r="D45" s="251">
        <f t="shared" si="4"/>
        <v>3973.6894103999998</v>
      </c>
      <c r="E45" s="253">
        <f>('11_ZŠ Míru'!AP16+'11_ZŠ Míru'!BA16)/1000</f>
        <v>1103.8026139999999</v>
      </c>
      <c r="F45" s="483">
        <f>'11_ZŠ Míru'!AQ16+'11_ZŠ Míru'!BB16</f>
        <v>2346692.2999999998</v>
      </c>
      <c r="G45" s="252">
        <f t="shared" si="0"/>
        <v>590.55755436199956</v>
      </c>
      <c r="H45" s="533">
        <f>('11_ZŠ Míru'!I16+'11_ZŠ Míru'!T16+'11_ZŠ Míru'!AE16)/1000</f>
        <v>86.085999999999999</v>
      </c>
      <c r="I45" s="497">
        <f>'11_ZŠ Míru'!J16+'11_ZŠ Míru'!U16+'11_ZŠ Míru'!AF16</f>
        <v>459436.60719999997</v>
      </c>
      <c r="J45" s="250">
        <f t="shared" si="1"/>
        <v>5336.9491810515065</v>
      </c>
      <c r="K45" s="273" t="s">
        <v>127</v>
      </c>
      <c r="L45" s="468" t="s">
        <v>127</v>
      </c>
      <c r="M45" s="254" t="e">
        <f t="shared" si="5"/>
        <v>#VALUE!</v>
      </c>
      <c r="N45" s="516">
        <v>1385</v>
      </c>
      <c r="O45" s="518">
        <v>294574</v>
      </c>
      <c r="P45" s="264">
        <f t="shared" si="3"/>
        <v>212.68880866425994</v>
      </c>
      <c r="Q45" s="207"/>
    </row>
    <row r="46" spans="1:17" ht="15.75" thickBot="1">
      <c r="A46" s="1234"/>
      <c r="B46" s="1237"/>
      <c r="C46" s="326">
        <v>2022</v>
      </c>
      <c r="D46" s="490">
        <f t="shared" si="4"/>
        <v>4418.7120000000004</v>
      </c>
      <c r="E46" s="332">
        <f>('11_ZŠ Míru'!AR16+'11_ZŠ Míru'!BC16)/1000</f>
        <v>1227.42</v>
      </c>
      <c r="F46" s="484">
        <f>'11_ZŠ Míru'!AS16+'11_ZŠ Míru'!BD16</f>
        <v>3177328.37</v>
      </c>
      <c r="G46" s="499">
        <f t="shared" si="0"/>
        <v>719.06210904897171</v>
      </c>
      <c r="H46" s="534">
        <f>('11_ZŠ Míru'!K16+'11_ZŠ Míru'!V16+'11_ZŠ Míru'!AG16)/1000</f>
        <v>80.256</v>
      </c>
      <c r="I46" s="1023">
        <f>'11_ZŠ Míru'!L16+'11_ZŠ Míru'!W16+'11_ZŠ Míru'!AH16</f>
        <v>478934.74950000003</v>
      </c>
      <c r="J46" s="265">
        <f t="shared" si="1"/>
        <v>5967.5880868720096</v>
      </c>
      <c r="K46" s="336"/>
      <c r="L46" s="469"/>
      <c r="M46" s="337"/>
      <c r="N46" s="530">
        <f>'11_ZŠ Míru'!BN16+'11_ZŠ Míru'!BY16+'11_ZŠ Míru'!CJ16+'11_ZŠ Míru'!CU16+'11_ZŠ Míru'!DF16+'11_ZŠ Míru'!DQ16</f>
        <v>1113</v>
      </c>
      <c r="O46" s="626">
        <f>'11_ZŠ Míru'!BO16+'11_ZŠ Míru'!BZ16+'11_ZŠ Míru'!CK16+'11_ZŠ Míru'!CV16+'11_ZŠ Míru'!DG16+'11_ZŠ Míru'!DR16</f>
        <v>125160.17199999999</v>
      </c>
      <c r="P46" s="335"/>
      <c r="Q46" s="207"/>
    </row>
    <row r="47" spans="1:17">
      <c r="A47" s="1232">
        <v>12</v>
      </c>
      <c r="B47" s="1235" t="s">
        <v>20</v>
      </c>
      <c r="C47" s="259">
        <v>2019</v>
      </c>
      <c r="D47" s="257">
        <f t="shared" si="4"/>
        <v>643.36299999999994</v>
      </c>
      <c r="E47" s="260">
        <f>('12_Knihovna'!M16)/1000</f>
        <v>178.71194444444441</v>
      </c>
      <c r="F47" s="482">
        <f>'12_Knihovna'!N16</f>
        <v>407528.08</v>
      </c>
      <c r="G47" s="258">
        <f t="shared" si="0"/>
        <v>633.43412661281434</v>
      </c>
      <c r="H47" s="260">
        <f>('12_Knihovna'!C16)/1000</f>
        <v>115.60299999999999</v>
      </c>
      <c r="I47" s="482">
        <f>'12_Knihovna'!D16</f>
        <v>654737.52</v>
      </c>
      <c r="J47" s="256">
        <f t="shared" si="1"/>
        <v>5663.6723960450854</v>
      </c>
      <c r="K47" s="272" t="s">
        <v>127</v>
      </c>
      <c r="L47" s="467" t="s">
        <v>127</v>
      </c>
      <c r="M47" s="293" t="e">
        <f t="shared" si="5"/>
        <v>#VALUE!</v>
      </c>
      <c r="N47" s="262">
        <f>'12_Knihovna'!V16</f>
        <v>522</v>
      </c>
      <c r="O47" s="502">
        <f>'12_Knihovna'!W16</f>
        <v>51967.97099999999</v>
      </c>
      <c r="P47" s="263">
        <f t="shared" si="3"/>
        <v>99.555499999999981</v>
      </c>
    </row>
    <row r="48" spans="1:17">
      <c r="A48" s="1233"/>
      <c r="B48" s="1236"/>
      <c r="C48" s="12">
        <v>2020</v>
      </c>
      <c r="D48" s="251">
        <f t="shared" si="4"/>
        <v>665.03099999999995</v>
      </c>
      <c r="E48" s="253">
        <f>('12_Knihovna'!O16)/1000</f>
        <v>184.73083333333332</v>
      </c>
      <c r="F48" s="483">
        <f>'12_Knihovna'!P16</f>
        <v>399637.08999999997</v>
      </c>
      <c r="G48" s="252">
        <f t="shared" si="0"/>
        <v>600.93001679620954</v>
      </c>
      <c r="H48" s="253">
        <f>('12_Knihovna'!F16)/1000</f>
        <v>92.242000000000004</v>
      </c>
      <c r="I48" s="483">
        <f>'12_Knihovna'!G16</f>
        <v>536975</v>
      </c>
      <c r="J48" s="250">
        <f t="shared" si="1"/>
        <v>5821.3720431040083</v>
      </c>
      <c r="K48" s="273" t="s">
        <v>127</v>
      </c>
      <c r="L48" s="468" t="s">
        <v>127</v>
      </c>
      <c r="M48" s="254" t="e">
        <f t="shared" si="5"/>
        <v>#VALUE!</v>
      </c>
      <c r="N48" s="516">
        <f>'12_Knihovna'!Y16</f>
        <v>415</v>
      </c>
      <c r="O48" s="518">
        <f>'12_Knihovna'!Z16</f>
        <v>41758.699500000002</v>
      </c>
      <c r="P48" s="264">
        <f t="shared" si="3"/>
        <v>100.62337228915663</v>
      </c>
    </row>
    <row r="49" spans="1:17">
      <c r="A49" s="1233"/>
      <c r="B49" s="1236"/>
      <c r="C49" s="12">
        <v>2021</v>
      </c>
      <c r="D49" s="251">
        <f t="shared" si="4"/>
        <v>765.03</v>
      </c>
      <c r="E49" s="253">
        <f>('12_Knihovna'!Q16)/1000</f>
        <v>212.50833333333333</v>
      </c>
      <c r="F49" s="483">
        <f>'12_Knihovna'!R16</f>
        <v>452155.68</v>
      </c>
      <c r="G49" s="252">
        <f t="shared" si="0"/>
        <v>591.02999882357551</v>
      </c>
      <c r="H49" s="253">
        <f>('12_Knihovna'!I16)/1000</f>
        <v>96.867000000000004</v>
      </c>
      <c r="I49" s="483">
        <f>'12_Knihovna'!J16</f>
        <v>604121</v>
      </c>
      <c r="J49" s="250">
        <f t="shared" si="1"/>
        <v>6236.6027646153998</v>
      </c>
      <c r="K49" s="273" t="s">
        <v>127</v>
      </c>
      <c r="L49" s="468" t="s">
        <v>127</v>
      </c>
      <c r="M49" s="254" t="e">
        <f t="shared" si="5"/>
        <v>#VALUE!</v>
      </c>
      <c r="N49" s="516">
        <f>'12_Knihovna'!AB16</f>
        <v>503</v>
      </c>
      <c r="O49" s="518">
        <f>'12_Knihovna'!AC16</f>
        <v>52696.277999999998</v>
      </c>
      <c r="P49" s="264">
        <f t="shared" si="3"/>
        <v>104.763972166998</v>
      </c>
    </row>
    <row r="50" spans="1:17" ht="15.75" thickBot="1">
      <c r="A50" s="1234"/>
      <c r="B50" s="1237"/>
      <c r="C50" s="296">
        <v>2022</v>
      </c>
      <c r="D50" s="490">
        <f t="shared" si="4"/>
        <v>686.56319999999994</v>
      </c>
      <c r="E50" s="297">
        <f>'12_Knihovna'!S16/1000</f>
        <v>190.71199999999999</v>
      </c>
      <c r="F50" s="485">
        <f>'12_Knihovna'!T16</f>
        <v>685133.94</v>
      </c>
      <c r="G50" s="499">
        <f t="shared" si="0"/>
        <v>997.91823971922759</v>
      </c>
      <c r="H50" s="297">
        <f>'12_Knihovna'!K16/1000</f>
        <v>172.00200000000001</v>
      </c>
      <c r="I50" s="485">
        <f>'12_Knihovna'!L16</f>
        <v>623525.79</v>
      </c>
      <c r="J50" s="265">
        <f t="shared" si="1"/>
        <v>3625.1077894443088</v>
      </c>
      <c r="K50" s="338"/>
      <c r="L50" s="471"/>
      <c r="M50" s="339"/>
      <c r="N50" s="519">
        <f>'12_Knihovna'!AD16</f>
        <v>618</v>
      </c>
      <c r="O50" s="520">
        <f>'12_Knihovna'!AE16</f>
        <v>69495.953999999998</v>
      </c>
      <c r="P50" s="343"/>
    </row>
    <row r="51" spans="1:17">
      <c r="A51" s="1232">
        <v>13</v>
      </c>
      <c r="B51" s="1235" t="s">
        <v>21</v>
      </c>
      <c r="C51" s="249">
        <v>2019</v>
      </c>
      <c r="D51" s="257">
        <f t="shared" si="4"/>
        <v>997.51319999999998</v>
      </c>
      <c r="E51" s="255">
        <f>('13_Kino'!X16)/1000</f>
        <v>277.08699999999999</v>
      </c>
      <c r="F51" s="486">
        <f>'13_Kino'!Y16</f>
        <v>631880</v>
      </c>
      <c r="G51" s="258">
        <f t="shared" si="0"/>
        <v>633.45527658180367</v>
      </c>
      <c r="H51" s="255">
        <f>('13_Kino'!C16+'13_Kino'!N16)/1000</f>
        <v>50.610999999999997</v>
      </c>
      <c r="I51" s="486">
        <f>'13_Kino'!D16+'13_Kino'!O16</f>
        <v>197579</v>
      </c>
      <c r="J51" s="256">
        <f t="shared" si="1"/>
        <v>3903.8746517555473</v>
      </c>
      <c r="K51" s="274" t="s">
        <v>127</v>
      </c>
      <c r="L51" s="474" t="s">
        <v>127</v>
      </c>
      <c r="M51" s="267" t="e">
        <f t="shared" si="5"/>
        <v>#VALUE!</v>
      </c>
      <c r="N51" s="257">
        <f>'13_Kino'!AG16</f>
        <v>464</v>
      </c>
      <c r="O51" s="507">
        <f>'13_Kino'!AH16</f>
        <v>46451</v>
      </c>
      <c r="P51" s="268">
        <f t="shared" si="3"/>
        <v>100.10991379310344</v>
      </c>
    </row>
    <row r="52" spans="1:17">
      <c r="A52" s="1233"/>
      <c r="B52" s="1236"/>
      <c r="C52" s="12">
        <v>2020</v>
      </c>
      <c r="D52" s="251">
        <f t="shared" si="4"/>
        <v>920.98440000000005</v>
      </c>
      <c r="E52" s="253">
        <f>('13_Kino'!Z16)/1000</f>
        <v>255.82900000000001</v>
      </c>
      <c r="F52" s="483">
        <f>'13_Kino'!AA16</f>
        <v>553448</v>
      </c>
      <c r="G52" s="252">
        <f t="shared" si="0"/>
        <v>600.93091696232852</v>
      </c>
      <c r="H52" s="515">
        <f>('13_Kino'!F16+'13_Kino'!Q16)/1000</f>
        <v>30.937999999999999</v>
      </c>
      <c r="I52" s="1028">
        <f>'13_Kino'!G16+'13_Kino'!R16</f>
        <v>127175.61</v>
      </c>
      <c r="J52" s="250">
        <f t="shared" si="1"/>
        <v>4110.6603529639924</v>
      </c>
      <c r="K52" s="273" t="s">
        <v>127</v>
      </c>
      <c r="L52" s="468" t="s">
        <v>127</v>
      </c>
      <c r="M52" s="254" t="e">
        <f t="shared" si="5"/>
        <v>#VALUE!</v>
      </c>
      <c r="N52" s="516">
        <f>'13_Kino'!AJ16</f>
        <v>291</v>
      </c>
      <c r="O52" s="518">
        <f>'13_Kino'!AK16</f>
        <v>29442</v>
      </c>
      <c r="P52" s="264">
        <f t="shared" si="3"/>
        <v>101.17525773195877</v>
      </c>
    </row>
    <row r="53" spans="1:17">
      <c r="A53" s="1233"/>
      <c r="B53" s="1236"/>
      <c r="C53" s="248">
        <v>2021</v>
      </c>
      <c r="D53" s="251">
        <f t="shared" si="4"/>
        <v>1113.0011999999999</v>
      </c>
      <c r="E53" s="266">
        <f>('13_Kino'!AB16)/1000</f>
        <v>309.16699999999997</v>
      </c>
      <c r="F53" s="487">
        <f>'13_Kino'!AC16</f>
        <v>657807</v>
      </c>
      <c r="G53" s="252">
        <f t="shared" si="0"/>
        <v>591.02092612299077</v>
      </c>
      <c r="H53" s="597">
        <f>('13_Kino'!I16+'13_Kino'!T16)/1000</f>
        <v>38.177210000000002</v>
      </c>
      <c r="I53" s="1029">
        <f>'13_Kino'!J16+'13_Kino'!U16</f>
        <v>172948.66999999998</v>
      </c>
      <c r="J53" s="250">
        <f t="shared" si="1"/>
        <v>4530.1547703459728</v>
      </c>
      <c r="K53" s="275" t="s">
        <v>127</v>
      </c>
      <c r="L53" s="475" t="s">
        <v>127</v>
      </c>
      <c r="M53" s="294" t="e">
        <f t="shared" si="5"/>
        <v>#VALUE!</v>
      </c>
      <c r="N53" s="516">
        <f>'13_Kino'!AM16</f>
        <v>525</v>
      </c>
      <c r="O53" s="518">
        <f>'13_Kino'!AN16</f>
        <v>54948</v>
      </c>
      <c r="P53" s="269">
        <f t="shared" si="3"/>
        <v>104.66285714285715</v>
      </c>
    </row>
    <row r="54" spans="1:17" ht="15.75" thickBot="1">
      <c r="A54" s="1234"/>
      <c r="B54" s="1237"/>
      <c r="C54" s="326">
        <v>2022</v>
      </c>
      <c r="D54" s="490">
        <f t="shared" si="4"/>
        <v>972.2195999999999</v>
      </c>
      <c r="E54" s="332">
        <f>'13_Kino'!AD16/1000</f>
        <v>270.06099999999998</v>
      </c>
      <c r="F54" s="484">
        <f>'13_Kino'!AE16</f>
        <v>970197</v>
      </c>
      <c r="G54" s="499">
        <f t="shared" si="0"/>
        <v>997.91960581745127</v>
      </c>
      <c r="H54" s="534">
        <f>('13_Kino'!K16+'13_Kino'!V16)/1000</f>
        <v>46.220680000000002</v>
      </c>
      <c r="I54" s="1023">
        <f>'13_Kino'!L16+'13_Kino'!W16</f>
        <v>203274.21999999997</v>
      </c>
      <c r="J54" s="265">
        <f t="shared" si="1"/>
        <v>4397.9063051430649</v>
      </c>
      <c r="K54" s="336"/>
      <c r="L54" s="469"/>
      <c r="M54" s="337"/>
      <c r="N54" s="530">
        <f>'13_Kino'!AO16</f>
        <v>452</v>
      </c>
      <c r="O54" s="531">
        <f>'13_Kino'!AP16</f>
        <v>50690</v>
      </c>
      <c r="P54" s="335"/>
    </row>
    <row r="55" spans="1:17">
      <c r="A55" s="1232">
        <v>14</v>
      </c>
      <c r="B55" s="1235" t="s">
        <v>132</v>
      </c>
      <c r="C55" s="259">
        <v>2019</v>
      </c>
      <c r="D55" s="257">
        <f t="shared" si="4"/>
        <v>1585.6000000000001</v>
      </c>
      <c r="E55" s="260">
        <f>('14_Magistrát B1+B2'!M16+'14_Magistrát B1+B2'!M37)/1000</f>
        <v>440.44444444444446</v>
      </c>
      <c r="F55" s="482">
        <f>'14_Magistrát B1+B2'!N16+'14_Magistrát B1+B2'!N37</f>
        <v>997786.37</v>
      </c>
      <c r="G55" s="258">
        <f t="shared" si="0"/>
        <v>629.28000126135214</v>
      </c>
      <c r="H55" s="260">
        <f>('14_Magistrát B1+B2'!C16+'14_Magistrát B1+B2'!C37)/1000</f>
        <v>186.78800000000001</v>
      </c>
      <c r="I55" s="482">
        <f>'14_Magistrát B1+B2'!D16+'14_Magistrát B1+B2'!D37</f>
        <v>761217.91999999993</v>
      </c>
      <c r="J55" s="256">
        <f t="shared" si="1"/>
        <v>4075.3041951303076</v>
      </c>
      <c r="K55" s="272" t="s">
        <v>127</v>
      </c>
      <c r="L55" s="467" t="s">
        <v>127</v>
      </c>
      <c r="M55" s="293" t="e">
        <f t="shared" si="5"/>
        <v>#VALUE!</v>
      </c>
      <c r="N55" s="262">
        <f>'14_Magistrát B1+B2'!V16</f>
        <v>1045</v>
      </c>
      <c r="O55" s="502">
        <f>'14_Magistrát B1+B2'!W16</f>
        <v>104035.49749999998</v>
      </c>
      <c r="P55" s="263">
        <f t="shared" si="3"/>
        <v>99.555499999999981</v>
      </c>
      <c r="Q55" s="207"/>
    </row>
    <row r="56" spans="1:17">
      <c r="A56" s="1233"/>
      <c r="B56" s="1236"/>
      <c r="C56" s="12">
        <v>2020</v>
      </c>
      <c r="D56" s="251">
        <f t="shared" si="4"/>
        <v>1732.3999999999999</v>
      </c>
      <c r="E56" s="253">
        <f>('14_Magistrát B1+B2'!O16+'14_Magistrát B1+B2'!O37)/1000</f>
        <v>481.22222222222217</v>
      </c>
      <c r="F56" s="483">
        <f>'14_Magistrát B1+B2'!P16+'14_Magistrát B1+B2'!P37</f>
        <v>1041051.1399999999</v>
      </c>
      <c r="G56" s="252">
        <f t="shared" si="0"/>
        <v>600.93000461787119</v>
      </c>
      <c r="H56" s="253">
        <f>('14_Magistrát B1+B2'!F16+'14_Magistrát B1+B2'!F37)/1000</f>
        <v>184.37</v>
      </c>
      <c r="I56" s="483">
        <f>'14_Magistrát B1+B2'!G16+'14_Magistrát B1+B2'!G37</f>
        <v>759261.21</v>
      </c>
      <c r="J56" s="250">
        <f t="shared" si="1"/>
        <v>4118.1385800292883</v>
      </c>
      <c r="K56" s="273" t="s">
        <v>127</v>
      </c>
      <c r="L56" s="468" t="s">
        <v>127</v>
      </c>
      <c r="M56" s="254" t="e">
        <f t="shared" si="5"/>
        <v>#VALUE!</v>
      </c>
      <c r="N56" s="516">
        <f>'14_Magistrát B1+B2'!Y16</f>
        <v>1047</v>
      </c>
      <c r="O56" s="518">
        <f>'14_Magistrát B1+B2'!Z16</f>
        <v>105050.844</v>
      </c>
      <c r="P56" s="264">
        <f t="shared" si="3"/>
        <v>100.33509455587392</v>
      </c>
    </row>
    <row r="57" spans="1:17">
      <c r="A57" s="1233"/>
      <c r="B57" s="1236"/>
      <c r="C57" s="12">
        <v>2021</v>
      </c>
      <c r="D57" s="251">
        <f t="shared" si="4"/>
        <v>1827.4260000000002</v>
      </c>
      <c r="E57" s="253">
        <f>('14_Magistrát B1+B2'!Q16+'14_Magistrát B1+B2'!Q37)/1000</f>
        <v>507.6183333333334</v>
      </c>
      <c r="F57" s="483">
        <f>'14_Magistrát B1+B2'!R16+'14_Magistrát B1+B2'!R37</f>
        <v>1080064.19</v>
      </c>
      <c r="G57" s="252">
        <f t="shared" si="0"/>
        <v>591.03032899827394</v>
      </c>
      <c r="H57" s="253">
        <f>('14_Magistrát B1+B2'!I16+'14_Magistrát B1+B2'!I37)/1000</f>
        <v>170.815</v>
      </c>
      <c r="I57" s="483">
        <f>'14_Magistrát B1+B2'!J16+'14_Magistrát B1+B2'!J37</f>
        <v>780993</v>
      </c>
      <c r="J57" s="250">
        <f t="shared" si="1"/>
        <v>4572.1570119720163</v>
      </c>
      <c r="K57" s="273" t="s">
        <v>127</v>
      </c>
      <c r="L57" s="468" t="s">
        <v>127</v>
      </c>
      <c r="M57" s="254" t="e">
        <f t="shared" si="5"/>
        <v>#VALUE!</v>
      </c>
      <c r="N57" s="516">
        <f>'14_Magistrát B1+B2'!AB16</f>
        <v>1104</v>
      </c>
      <c r="O57" s="518">
        <f>'14_Magistrát B1+B2'!AC16</f>
        <v>115659.45200000002</v>
      </c>
      <c r="P57" s="264">
        <f t="shared" si="3"/>
        <v>104.7639963768116</v>
      </c>
    </row>
    <row r="58" spans="1:17" ht="15.75" thickBot="1">
      <c r="A58" s="1234"/>
      <c r="B58" s="1237"/>
      <c r="C58" s="296">
        <v>2022</v>
      </c>
      <c r="D58" s="490">
        <f t="shared" si="4"/>
        <v>1503.4787999999999</v>
      </c>
      <c r="E58" s="297">
        <f>('14_Magistrát B1+B2'!S16+'14_Magistrát B1+B2'!S37)/1000</f>
        <v>417.63299999999998</v>
      </c>
      <c r="F58" s="485">
        <f>'14_Magistrát B1+B2'!T16+'14_Magistrát B1+B2'!T37</f>
        <v>1500351.77</v>
      </c>
      <c r="G58" s="499">
        <f t="shared" si="0"/>
        <v>997.92013695171499</v>
      </c>
      <c r="H58" s="297">
        <f>('14_Magistrát B1+B2'!K16+'14_Magistrát B1+B2'!K37)/1000</f>
        <v>162.85</v>
      </c>
      <c r="I58" s="485">
        <f>'14_Magistrát B1+B2'!L16+'14_Magistrát B1+B2'!L37</f>
        <v>766400.54</v>
      </c>
      <c r="J58" s="265">
        <f t="shared" si="1"/>
        <v>4706.1746392385639</v>
      </c>
      <c r="K58" s="338"/>
      <c r="L58" s="471"/>
      <c r="M58" s="339"/>
      <c r="N58" s="519">
        <f>'14_Magistrát B1+B2'!AD16+'14_Magistrát B1+B2'!AD37</f>
        <v>1073</v>
      </c>
      <c r="O58" s="520">
        <f>'14_Magistrát B1+B2'!AE16+'14_Magistrát B1+B2'!AE37</f>
        <v>120662.07</v>
      </c>
      <c r="P58" s="343"/>
    </row>
    <row r="59" spans="1:17">
      <c r="A59" s="1232">
        <v>15</v>
      </c>
      <c r="B59" s="1235" t="s">
        <v>22</v>
      </c>
      <c r="C59" s="249">
        <v>2019</v>
      </c>
      <c r="D59" s="257">
        <f t="shared" si="4"/>
        <v>2231.19</v>
      </c>
      <c r="E59" s="613">
        <f>('15_Zimní stadion'!M16)/1000</f>
        <v>619.77499999999998</v>
      </c>
      <c r="F59" s="614">
        <f>'15_Zimní stadion'!N16</f>
        <v>1414973</v>
      </c>
      <c r="G59" s="258">
        <f t="shared" si="0"/>
        <v>634.17862217023196</v>
      </c>
      <c r="H59" s="631"/>
      <c r="I59" s="1030"/>
      <c r="J59" s="464"/>
      <c r="K59" s="274" t="s">
        <v>127</v>
      </c>
      <c r="L59" s="474" t="s">
        <v>127</v>
      </c>
      <c r="M59" s="267" t="e">
        <f t="shared" si="5"/>
        <v>#VALUE!</v>
      </c>
      <c r="N59" s="257" t="s">
        <v>127</v>
      </c>
      <c r="O59" s="507" t="s">
        <v>127</v>
      </c>
      <c r="P59" s="268" t="e">
        <f t="shared" si="3"/>
        <v>#VALUE!</v>
      </c>
    </row>
    <row r="60" spans="1:17">
      <c r="A60" s="1233"/>
      <c r="B60" s="1236"/>
      <c r="C60" s="12">
        <v>2020</v>
      </c>
      <c r="D60" s="251">
        <f t="shared" si="4"/>
        <v>1925.1828</v>
      </c>
      <c r="E60" s="253">
        <f>('15_Zimní stadion'!O16)/1000</f>
        <v>534.77300000000002</v>
      </c>
      <c r="F60" s="483">
        <f>'15_Zimní stadion'!P16</f>
        <v>1165912</v>
      </c>
      <c r="G60" s="252">
        <f t="shared" si="0"/>
        <v>605.6110619729202</v>
      </c>
      <c r="H60" s="521">
        <f>'15_Zimní stadion'!K36/1000</f>
        <v>417.24400000000003</v>
      </c>
      <c r="I60" s="1031">
        <f>'15_Zimní stadion'!G16</f>
        <v>1237268.7000000002</v>
      </c>
      <c r="J60" s="250">
        <f t="shared" si="1"/>
        <v>2965.3361102855883</v>
      </c>
      <c r="K60" s="273" t="s">
        <v>127</v>
      </c>
      <c r="L60" s="468" t="s">
        <v>127</v>
      </c>
      <c r="M60" s="254" t="e">
        <f t="shared" si="5"/>
        <v>#VALUE!</v>
      </c>
      <c r="N60" s="251" t="s">
        <v>127</v>
      </c>
      <c r="O60" s="503" t="s">
        <v>127</v>
      </c>
      <c r="P60" s="264" t="e">
        <f t="shared" si="3"/>
        <v>#VALUE!</v>
      </c>
    </row>
    <row r="61" spans="1:17">
      <c r="A61" s="1233"/>
      <c r="B61" s="1236"/>
      <c r="C61" s="12">
        <v>2021</v>
      </c>
      <c r="D61" s="251">
        <f t="shared" si="4"/>
        <v>2197.0008000000003</v>
      </c>
      <c r="E61" s="253">
        <f>('15_Zimní stadion'!Q16)/1000</f>
        <v>610.27800000000002</v>
      </c>
      <c r="F61" s="483">
        <f>'15_Zimní stadion'!R16</f>
        <v>1298269</v>
      </c>
      <c r="G61" s="252">
        <f t="shared" si="0"/>
        <v>590.92786857428541</v>
      </c>
      <c r="H61" s="253">
        <f>'15_Zimní stadion'!O36/1000</f>
        <v>720.22299999999996</v>
      </c>
      <c r="I61" s="497">
        <f>'15_Zimní stadion'!J16</f>
        <v>2141724.6500000004</v>
      </c>
      <c r="J61" s="250">
        <f t="shared" si="1"/>
        <v>2973.6965495409067</v>
      </c>
      <c r="K61" s="273" t="s">
        <v>127</v>
      </c>
      <c r="L61" s="468" t="s">
        <v>127</v>
      </c>
      <c r="M61" s="254" t="e">
        <f t="shared" si="5"/>
        <v>#VALUE!</v>
      </c>
      <c r="N61" s="251" t="s">
        <v>127</v>
      </c>
      <c r="O61" s="503" t="s">
        <v>127</v>
      </c>
      <c r="P61" s="264" t="e">
        <f t="shared" si="3"/>
        <v>#VALUE!</v>
      </c>
    </row>
    <row r="62" spans="1:17" ht="15.75" thickBot="1">
      <c r="A62" s="1234"/>
      <c r="B62" s="1237"/>
      <c r="C62" s="326">
        <v>2022</v>
      </c>
      <c r="D62" s="490">
        <f t="shared" si="4"/>
        <v>2079.944</v>
      </c>
      <c r="E62" s="332">
        <f>'15_Zimní stadion'!S16/1000</f>
        <v>577.76222222222225</v>
      </c>
      <c r="F62" s="461">
        <f>'15_Zimní stadion'!T16</f>
        <v>2075617.71</v>
      </c>
      <c r="G62" s="499">
        <f t="shared" si="0"/>
        <v>997.91999688453154</v>
      </c>
      <c r="H62" s="332">
        <f>'15_Zimní stadion'!S36/1000</f>
        <v>661.66499999999996</v>
      </c>
      <c r="I62" s="484">
        <f>'15_Zimní stadion'!L16</f>
        <v>1987364.87</v>
      </c>
      <c r="J62" s="265">
        <f t="shared" si="1"/>
        <v>3003.5816765281529</v>
      </c>
      <c r="K62" s="336"/>
      <c r="L62" s="469"/>
      <c r="M62" s="337"/>
      <c r="N62" s="334">
        <f>'15_Zimní stadion'!X36</f>
        <v>4630</v>
      </c>
      <c r="O62" s="505">
        <f>'15_Zimní stadion'!AA36</f>
        <v>607275.2699999999</v>
      </c>
      <c r="P62" s="335"/>
    </row>
    <row r="63" spans="1:17">
      <c r="A63" s="1232">
        <v>16</v>
      </c>
      <c r="B63" s="1235" t="s">
        <v>23</v>
      </c>
      <c r="C63" s="259">
        <v>2019</v>
      </c>
      <c r="D63" s="257"/>
      <c r="E63" s="260"/>
      <c r="F63" s="496"/>
      <c r="G63" s="258"/>
      <c r="H63" s="260">
        <f>('16_Aquapark'!C16)/1000</f>
        <v>1794.1659999999999</v>
      </c>
      <c r="I63" s="482">
        <f>'16_Aquapark'!D16</f>
        <v>3694218</v>
      </c>
      <c r="J63" s="256">
        <f t="shared" si="1"/>
        <v>2059.0168356774125</v>
      </c>
      <c r="K63" s="272" t="s">
        <v>127</v>
      </c>
      <c r="L63" s="467" t="s">
        <v>127</v>
      </c>
      <c r="M63" s="293" t="e">
        <f t="shared" si="5"/>
        <v>#VALUE!</v>
      </c>
      <c r="N63" s="262">
        <f>'16_Aquapark'!N16+'16_Aquapark'!Y16+'16_Aquapark'!AJ16</f>
        <v>0</v>
      </c>
      <c r="O63" s="508">
        <f>'16_Aquapark'!O16+'16_Aquapark'!Z16+'16_Aquapark'!AK16</f>
        <v>0</v>
      </c>
      <c r="P63" s="263" t="e">
        <f t="shared" si="3"/>
        <v>#DIV/0!</v>
      </c>
      <c r="Q63" s="156" t="s">
        <v>128</v>
      </c>
    </row>
    <row r="64" spans="1:17">
      <c r="A64" s="1233"/>
      <c r="B64" s="1236"/>
      <c r="C64" s="12">
        <v>2020</v>
      </c>
      <c r="D64" s="251"/>
      <c r="E64" s="253"/>
      <c r="F64" s="497"/>
      <c r="G64" s="252"/>
      <c r="H64" s="253">
        <f>('16_Aquapark'!F16)/1000</f>
        <v>1238.4760000000001</v>
      </c>
      <c r="I64" s="483">
        <f>'16_Aquapark'!G16</f>
        <v>2852123</v>
      </c>
      <c r="J64" s="250">
        <f t="shared" si="1"/>
        <v>2302.9295682758484</v>
      </c>
      <c r="K64" s="273" t="s">
        <v>127</v>
      </c>
      <c r="L64" s="468" t="s">
        <v>127</v>
      </c>
      <c r="M64" s="254" t="e">
        <f t="shared" si="5"/>
        <v>#VALUE!</v>
      </c>
      <c r="N64" s="251">
        <f>'16_Aquapark'!Q16+'16_Aquapark'!AB16+'16_Aquapark'!AM16</f>
        <v>0</v>
      </c>
      <c r="O64" s="506">
        <f>'16_Aquapark'!R16+'16_Aquapark'!AC16+'16_Aquapark'!AN16</f>
        <v>0</v>
      </c>
      <c r="P64" s="264" t="e">
        <f t="shared" si="3"/>
        <v>#DIV/0!</v>
      </c>
    </row>
    <row r="65" spans="1:16">
      <c r="A65" s="1233"/>
      <c r="B65" s="1236"/>
      <c r="C65" s="12">
        <v>2021</v>
      </c>
      <c r="D65" s="251"/>
      <c r="E65" s="253"/>
      <c r="F65" s="497"/>
      <c r="G65" s="252"/>
      <c r="H65" s="253">
        <f>('16_Aquapark'!I16)/1000</f>
        <v>1182.396</v>
      </c>
      <c r="I65" s="483">
        <f>'16_Aquapark'!J16</f>
        <v>3220299</v>
      </c>
      <c r="J65" s="250">
        <f t="shared" si="1"/>
        <v>2723.5367846305298</v>
      </c>
      <c r="K65" s="273" t="s">
        <v>127</v>
      </c>
      <c r="L65" s="468" t="s">
        <v>127</v>
      </c>
      <c r="M65" s="254" t="e">
        <f t="shared" si="5"/>
        <v>#VALUE!</v>
      </c>
      <c r="N65" s="251">
        <f>'16_Aquapark'!T16+'16_Aquapark'!AE16+'16_Aquapark'!AP16</f>
        <v>0</v>
      </c>
      <c r="O65" s="506">
        <f>'16_Aquapark'!U16+'16_Aquapark'!AF16+'16_Aquapark'!AQ16</f>
        <v>0</v>
      </c>
      <c r="P65" s="264" t="e">
        <f t="shared" si="3"/>
        <v>#DIV/0!</v>
      </c>
    </row>
    <row r="66" spans="1:16" ht="15.75" thickBot="1">
      <c r="A66" s="1234"/>
      <c r="B66" s="1237"/>
      <c r="C66" s="296">
        <v>2022</v>
      </c>
      <c r="D66" s="297"/>
      <c r="E66" s="297"/>
      <c r="F66" s="498"/>
      <c r="G66" s="499"/>
      <c r="H66" s="297">
        <f>'16_Aquapark'!K16/1000</f>
        <v>1783.942</v>
      </c>
      <c r="I66" s="485">
        <f>'16_Aquapark'!L16</f>
        <v>4406696.55</v>
      </c>
      <c r="J66" s="265">
        <f t="shared" si="1"/>
        <v>2470.2016937770395</v>
      </c>
      <c r="K66" s="338"/>
      <c r="L66" s="471"/>
      <c r="M66" s="339"/>
      <c r="N66" s="340">
        <f>'16_Aquapark'!V16+'16_Aquapark'!AG16+'16_Aquapark'!AR16</f>
        <v>0</v>
      </c>
      <c r="O66" s="511">
        <f>'16_Aquapark'!W16+'16_Aquapark'!AH16+'16_Aquapark'!AS16</f>
        <v>0</v>
      </c>
      <c r="P66" s="343"/>
    </row>
  </sheetData>
  <mergeCells count="37">
    <mergeCell ref="A63:A66"/>
    <mergeCell ref="B63:B66"/>
    <mergeCell ref="A51:A54"/>
    <mergeCell ref="B51:B54"/>
    <mergeCell ref="A55:A58"/>
    <mergeCell ref="B55:B58"/>
    <mergeCell ref="A59:A62"/>
    <mergeCell ref="B59:B62"/>
    <mergeCell ref="A39:A42"/>
    <mergeCell ref="B39:B42"/>
    <mergeCell ref="A43:A46"/>
    <mergeCell ref="B43:B46"/>
    <mergeCell ref="A47:A50"/>
    <mergeCell ref="B47:B50"/>
    <mergeCell ref="A27:A30"/>
    <mergeCell ref="B27:B30"/>
    <mergeCell ref="A31:A34"/>
    <mergeCell ref="B31:B34"/>
    <mergeCell ref="A35:A38"/>
    <mergeCell ref="B35:B38"/>
    <mergeCell ref="A15:A18"/>
    <mergeCell ref="B15:B18"/>
    <mergeCell ref="A19:A22"/>
    <mergeCell ref="B19:B22"/>
    <mergeCell ref="A23:A26"/>
    <mergeCell ref="B23:B26"/>
    <mergeCell ref="K1:M1"/>
    <mergeCell ref="D1:G1"/>
    <mergeCell ref="N1:P1"/>
    <mergeCell ref="A1:C1"/>
    <mergeCell ref="A11:A14"/>
    <mergeCell ref="B11:B14"/>
    <mergeCell ref="A3:A6"/>
    <mergeCell ref="B3:B6"/>
    <mergeCell ref="A7:A10"/>
    <mergeCell ref="B7:B10"/>
    <mergeCell ref="H1:J1"/>
  </mergeCells>
  <pageMargins left="0.25" right="0.25" top="0.75" bottom="0.75" header="0.3" footer="0.3"/>
  <pageSetup paperSize="9" scale="50" orientation="landscape" r:id="rId1"/>
  <ignoredErrors>
    <ignoredError sqref="M7" evalError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1"/>
  <sheetViews>
    <sheetView zoomScale="85" zoomScaleNormal="85" workbookViewId="0">
      <pane xSplit="1" topLeftCell="K1" activePane="topRight" state="frozen"/>
      <selection pane="topRight" activeCell="Y27" sqref="Y27"/>
    </sheetView>
  </sheetViews>
  <sheetFormatPr defaultColWidth="8.85546875" defaultRowHeight="15"/>
  <cols>
    <col min="1" max="3" width="8.85546875" customWidth="1"/>
    <col min="4" max="4" width="10.28515625" customWidth="1"/>
    <col min="5" max="6" width="8.85546875" customWidth="1"/>
    <col min="7" max="7" width="10" customWidth="1"/>
    <col min="8" max="9" width="8.85546875" customWidth="1"/>
    <col min="10" max="12" width="9.85546875" customWidth="1"/>
    <col min="13" max="24" width="10" customWidth="1"/>
    <col min="25" max="25" width="11.85546875" customWidth="1"/>
    <col min="26" max="26" width="10.42578125" customWidth="1"/>
    <col min="27" max="27" width="11.42578125" customWidth="1"/>
    <col min="28" max="28" width="11.28515625" customWidth="1"/>
    <col min="29" max="31" width="11.7109375" customWidth="1"/>
    <col min="32" max="32" width="9.7109375" customWidth="1"/>
    <col min="33" max="34" width="9.42578125" customWidth="1"/>
    <col min="35" max="35" width="8.7109375" customWidth="1"/>
    <col min="36" max="36" width="9.7109375" customWidth="1"/>
    <col min="37" max="37" width="9.42578125" customWidth="1"/>
    <col min="38" max="38" width="8.7109375" customWidth="1"/>
    <col min="39" max="39" width="9.85546875" customWidth="1"/>
    <col min="40" max="42" width="8.7109375" customWidth="1"/>
    <col min="62" max="62" width="11.85546875" bestFit="1" customWidth="1"/>
    <col min="63" max="64" width="11.85546875" customWidth="1"/>
    <col min="71" max="71" width="10" customWidth="1"/>
  </cols>
  <sheetData>
    <row r="1" spans="1:75" ht="15" customHeight="1">
      <c r="A1" s="1255"/>
      <c r="B1" s="1261" t="s">
        <v>48</v>
      </c>
      <c r="C1" s="1262"/>
      <c r="D1" s="1262"/>
      <c r="E1" s="1262"/>
      <c r="F1" s="1262"/>
      <c r="G1" s="1262"/>
      <c r="H1" s="1262"/>
      <c r="I1" s="1262"/>
      <c r="J1" s="1262"/>
      <c r="K1" s="1263"/>
      <c r="L1" s="1264"/>
      <c r="M1" s="1261" t="s">
        <v>47</v>
      </c>
      <c r="N1" s="1262"/>
      <c r="O1" s="1262"/>
      <c r="P1" s="1262"/>
      <c r="Q1" s="1262"/>
      <c r="R1" s="1262"/>
      <c r="S1" s="1262"/>
      <c r="T1" s="1262"/>
      <c r="U1" s="1262"/>
      <c r="V1" s="1263"/>
      <c r="W1" s="1264"/>
      <c r="X1" s="1295" t="s">
        <v>52</v>
      </c>
      <c r="Y1" s="1296"/>
      <c r="Z1" s="1296"/>
      <c r="AA1" s="1296"/>
      <c r="AB1" s="1296"/>
      <c r="AC1" s="1296"/>
      <c r="AD1" s="1297"/>
      <c r="AE1" s="1298"/>
      <c r="AF1" s="1265" t="s">
        <v>66</v>
      </c>
      <c r="AG1" s="1266"/>
      <c r="AH1" s="1266"/>
      <c r="AI1" s="1266"/>
      <c r="AJ1" s="1266"/>
      <c r="AK1" s="1266"/>
      <c r="AL1" s="1266"/>
      <c r="AM1" s="1266"/>
      <c r="AN1" s="1266"/>
      <c r="AO1" s="1263"/>
      <c r="AP1" s="1264"/>
      <c r="AQ1" s="1265" t="s">
        <v>49</v>
      </c>
      <c r="AR1" s="1266"/>
      <c r="AS1" s="1266"/>
      <c r="AT1" s="1266"/>
      <c r="AU1" s="1266"/>
      <c r="AV1" s="1266"/>
      <c r="AW1" s="1266"/>
      <c r="AX1" s="1266"/>
      <c r="AY1" s="1266"/>
      <c r="AZ1" s="1263"/>
      <c r="BA1" s="1264"/>
      <c r="BB1" s="1265" t="s">
        <v>50</v>
      </c>
      <c r="BC1" s="1266"/>
      <c r="BD1" s="1266"/>
      <c r="BE1" s="1266"/>
      <c r="BF1" s="1266"/>
      <c r="BG1" s="1266"/>
      <c r="BH1" s="1266"/>
      <c r="BI1" s="1266"/>
      <c r="BJ1" s="1266"/>
      <c r="BK1" s="1263"/>
      <c r="BL1" s="1264"/>
      <c r="BM1" s="1265" t="s">
        <v>51</v>
      </c>
      <c r="BN1" s="1266"/>
      <c r="BO1" s="1266"/>
      <c r="BP1" s="1266"/>
      <c r="BQ1" s="1266"/>
      <c r="BR1" s="1266"/>
      <c r="BS1" s="1266"/>
      <c r="BT1" s="1266"/>
      <c r="BU1" s="1266"/>
      <c r="BV1" s="1267"/>
      <c r="BW1" s="1268"/>
    </row>
    <row r="2" spans="1:75">
      <c r="A2" s="1255"/>
      <c r="B2" s="1256">
        <v>2019</v>
      </c>
      <c r="C2" s="1257"/>
      <c r="D2" s="1257"/>
      <c r="E2" s="1256">
        <v>2020</v>
      </c>
      <c r="F2" s="1257"/>
      <c r="G2" s="1258"/>
      <c r="H2" s="1259">
        <v>2021</v>
      </c>
      <c r="I2" s="1257"/>
      <c r="J2" s="1258"/>
      <c r="K2" s="1256">
        <v>2022</v>
      </c>
      <c r="L2" s="1260"/>
      <c r="M2" s="1256">
        <v>2019</v>
      </c>
      <c r="N2" s="1257"/>
      <c r="O2" s="1257"/>
      <c r="P2" s="1256">
        <v>2020</v>
      </c>
      <c r="Q2" s="1257"/>
      <c r="R2" s="1258"/>
      <c r="S2" s="1259">
        <v>2021</v>
      </c>
      <c r="T2" s="1257"/>
      <c r="U2" s="1258"/>
      <c r="V2" s="1256">
        <v>2022</v>
      </c>
      <c r="W2" s="1260"/>
      <c r="X2" s="1271">
        <v>2019</v>
      </c>
      <c r="Y2" s="1292"/>
      <c r="Z2" s="1271">
        <v>2020</v>
      </c>
      <c r="AA2" s="1293"/>
      <c r="AB2" s="1294">
        <v>2021</v>
      </c>
      <c r="AC2" s="1293"/>
      <c r="AD2" s="1271">
        <v>2022</v>
      </c>
      <c r="AE2" s="1272"/>
      <c r="AF2" s="1299">
        <v>2019</v>
      </c>
      <c r="AG2" s="1300"/>
      <c r="AH2" s="1300"/>
      <c r="AI2" s="1299">
        <v>2020</v>
      </c>
      <c r="AJ2" s="1300"/>
      <c r="AK2" s="1301"/>
      <c r="AL2" s="1302">
        <v>2021</v>
      </c>
      <c r="AM2" s="1300"/>
      <c r="AN2" s="1301"/>
      <c r="AO2" s="1273">
        <v>2022</v>
      </c>
      <c r="AP2" s="1272"/>
      <c r="AQ2" s="1252">
        <v>2019</v>
      </c>
      <c r="AR2" s="1253"/>
      <c r="AS2" s="1253"/>
      <c r="AT2" s="1252">
        <v>2020</v>
      </c>
      <c r="AU2" s="1253"/>
      <c r="AV2" s="1254"/>
      <c r="AW2" s="1252">
        <v>2021</v>
      </c>
      <c r="AX2" s="1253"/>
      <c r="AY2" s="1254"/>
      <c r="AZ2" s="1291">
        <v>2022</v>
      </c>
      <c r="BA2" s="1272"/>
      <c r="BB2" s="1252">
        <v>2019</v>
      </c>
      <c r="BC2" s="1253"/>
      <c r="BD2" s="1253"/>
      <c r="BE2" s="1252">
        <v>2020</v>
      </c>
      <c r="BF2" s="1253"/>
      <c r="BG2" s="1254"/>
      <c r="BH2" s="1252">
        <v>2021</v>
      </c>
      <c r="BI2" s="1253"/>
      <c r="BJ2" s="1254"/>
      <c r="BK2" s="1291">
        <v>2022</v>
      </c>
      <c r="BL2" s="1272"/>
      <c r="BM2" s="1252">
        <v>2019</v>
      </c>
      <c r="BN2" s="1253"/>
      <c r="BO2" s="1253"/>
      <c r="BP2" s="1252">
        <v>2020</v>
      </c>
      <c r="BQ2" s="1253"/>
      <c r="BR2" s="1254"/>
      <c r="BS2" s="1252">
        <v>2021</v>
      </c>
      <c r="BT2" s="1253"/>
      <c r="BU2" s="1254"/>
      <c r="BV2" s="1269">
        <v>2022</v>
      </c>
      <c r="BW2" s="1270"/>
    </row>
    <row r="3" spans="1:75" ht="31.5" customHeight="1">
      <c r="A3" s="1255"/>
      <c r="B3" s="1" t="s">
        <v>1</v>
      </c>
      <c r="C3" s="2" t="s">
        <v>2</v>
      </c>
      <c r="D3" s="2" t="s">
        <v>3</v>
      </c>
      <c r="E3" s="1" t="s">
        <v>1</v>
      </c>
      <c r="F3" s="2" t="s">
        <v>2</v>
      </c>
      <c r="G3" s="3" t="s">
        <v>3</v>
      </c>
      <c r="H3" s="2" t="s">
        <v>1</v>
      </c>
      <c r="I3" s="2" t="s">
        <v>2</v>
      </c>
      <c r="J3" s="3" t="s">
        <v>3</v>
      </c>
      <c r="K3" s="2" t="s">
        <v>1</v>
      </c>
      <c r="L3" s="2" t="s">
        <v>3</v>
      </c>
      <c r="M3" s="1" t="s">
        <v>1</v>
      </c>
      <c r="N3" s="2" t="s">
        <v>2</v>
      </c>
      <c r="O3" s="2" t="s">
        <v>3</v>
      </c>
      <c r="P3" s="1" t="s">
        <v>1</v>
      </c>
      <c r="Q3" s="2" t="s">
        <v>2</v>
      </c>
      <c r="R3" s="3" t="s">
        <v>3</v>
      </c>
      <c r="S3" s="2" t="s">
        <v>1</v>
      </c>
      <c r="T3" s="2" t="s">
        <v>2</v>
      </c>
      <c r="U3" s="3" t="s">
        <v>3</v>
      </c>
      <c r="V3" s="2" t="s">
        <v>1</v>
      </c>
      <c r="W3" s="2" t="s">
        <v>3</v>
      </c>
      <c r="X3" s="1" t="s">
        <v>2</v>
      </c>
      <c r="Y3" s="2" t="s">
        <v>3</v>
      </c>
      <c r="Z3" s="1" t="s">
        <v>2</v>
      </c>
      <c r="AA3" s="3" t="s">
        <v>3</v>
      </c>
      <c r="AB3" s="2" t="s">
        <v>2</v>
      </c>
      <c r="AC3" s="3" t="s">
        <v>3</v>
      </c>
      <c r="AD3" s="2" t="s">
        <v>1</v>
      </c>
      <c r="AE3" s="2" t="s">
        <v>3</v>
      </c>
      <c r="AF3" s="4" t="s">
        <v>1</v>
      </c>
      <c r="AG3" s="5" t="s">
        <v>2</v>
      </c>
      <c r="AH3" s="5" t="s">
        <v>3</v>
      </c>
      <c r="AI3" s="4" t="s">
        <v>1</v>
      </c>
      <c r="AJ3" s="5" t="s">
        <v>2</v>
      </c>
      <c r="AK3" s="6" t="s">
        <v>3</v>
      </c>
      <c r="AL3" s="5" t="s">
        <v>1</v>
      </c>
      <c r="AM3" s="5" t="s">
        <v>2</v>
      </c>
      <c r="AN3" s="6" t="s">
        <v>3</v>
      </c>
      <c r="AO3" s="5"/>
      <c r="AP3" s="5"/>
      <c r="AQ3" s="7" t="s">
        <v>6</v>
      </c>
      <c r="AR3" s="8" t="s">
        <v>7</v>
      </c>
      <c r="AS3" s="8" t="s">
        <v>3</v>
      </c>
      <c r="AT3" s="7" t="s">
        <v>6</v>
      </c>
      <c r="AU3" s="8" t="s">
        <v>7</v>
      </c>
      <c r="AV3" s="9" t="s">
        <v>3</v>
      </c>
      <c r="AW3" s="7" t="s">
        <v>6</v>
      </c>
      <c r="AX3" s="8" t="s">
        <v>7</v>
      </c>
      <c r="AY3" s="9" t="s">
        <v>3</v>
      </c>
      <c r="AZ3" s="8"/>
      <c r="BA3" s="8"/>
      <c r="BB3" s="59" t="s">
        <v>6</v>
      </c>
      <c r="BC3" s="8" t="s">
        <v>7</v>
      </c>
      <c r="BD3" s="8" t="s">
        <v>3</v>
      </c>
      <c r="BE3" s="59" t="s">
        <v>6</v>
      </c>
      <c r="BF3" s="8" t="s">
        <v>7</v>
      </c>
      <c r="BG3" s="9" t="s">
        <v>3</v>
      </c>
      <c r="BH3" s="59" t="s">
        <v>6</v>
      </c>
      <c r="BI3" s="8" t="s">
        <v>7</v>
      </c>
      <c r="BJ3" s="9" t="s">
        <v>3</v>
      </c>
      <c r="BK3" s="8"/>
      <c r="BL3" s="8"/>
      <c r="BM3" s="59" t="s">
        <v>6</v>
      </c>
      <c r="BN3" s="8" t="s">
        <v>7</v>
      </c>
      <c r="BO3" s="8" t="s">
        <v>3</v>
      </c>
      <c r="BP3" s="59" t="s">
        <v>6</v>
      </c>
      <c r="BQ3" s="8" t="s">
        <v>7</v>
      </c>
      <c r="BR3" s="9" t="s">
        <v>3</v>
      </c>
      <c r="BS3" s="59" t="s">
        <v>6</v>
      </c>
      <c r="BT3" s="8" t="s">
        <v>7</v>
      </c>
      <c r="BU3" s="9" t="s">
        <v>3</v>
      </c>
      <c r="BV3" s="195"/>
      <c r="BW3" s="356"/>
    </row>
    <row r="4" spans="1:75">
      <c r="A4" s="14" t="s">
        <v>35</v>
      </c>
      <c r="B4" s="116">
        <v>6338</v>
      </c>
      <c r="C4" s="116">
        <v>6506</v>
      </c>
      <c r="D4" s="116">
        <v>27808</v>
      </c>
      <c r="E4" s="115">
        <v>4318</v>
      </c>
      <c r="F4" s="116">
        <v>4122</v>
      </c>
      <c r="G4" s="117">
        <v>18854</v>
      </c>
      <c r="H4" s="116">
        <v>2177</v>
      </c>
      <c r="I4" s="116">
        <v>1977</v>
      </c>
      <c r="J4" s="117">
        <v>11650</v>
      </c>
      <c r="K4" s="115">
        <f>4006+375</f>
        <v>4381</v>
      </c>
      <c r="L4" s="117">
        <v>23045.93</v>
      </c>
      <c r="M4" s="116">
        <v>3883</v>
      </c>
      <c r="N4" s="116">
        <v>4008</v>
      </c>
      <c r="O4" s="116">
        <v>19063</v>
      </c>
      <c r="P4" s="115">
        <v>3937</v>
      </c>
      <c r="Q4" s="116">
        <v>4064</v>
      </c>
      <c r="R4" s="117">
        <v>19489</v>
      </c>
      <c r="S4" s="115">
        <v>2850</v>
      </c>
      <c r="T4" s="1284">
        <v>9450</v>
      </c>
      <c r="U4" s="1286">
        <v>52339</v>
      </c>
      <c r="V4" s="1164">
        <v>3864</v>
      </c>
      <c r="W4" s="1165">
        <v>21251.24</v>
      </c>
      <c r="X4" s="1288">
        <v>862049</v>
      </c>
      <c r="Y4" s="1286">
        <v>2016978</v>
      </c>
      <c r="Z4" s="1288">
        <v>844541</v>
      </c>
      <c r="AA4" s="1286">
        <v>1862480</v>
      </c>
      <c r="AB4" s="1288">
        <v>936971</v>
      </c>
      <c r="AC4" s="1286">
        <v>2040000</v>
      </c>
      <c r="AD4" s="1288">
        <v>968219</v>
      </c>
      <c r="AE4" s="1286">
        <v>3087884.04</v>
      </c>
      <c r="AF4" s="118">
        <v>1685</v>
      </c>
      <c r="AG4" s="1245">
        <v>10799.09</v>
      </c>
      <c r="AH4" s="1247">
        <v>14186.34</v>
      </c>
      <c r="AI4" s="118">
        <v>1586</v>
      </c>
      <c r="AJ4" s="1245">
        <v>7405</v>
      </c>
      <c r="AK4" s="1247">
        <v>8708.23</v>
      </c>
      <c r="AL4" s="119">
        <v>838</v>
      </c>
      <c r="AM4" s="394">
        <v>1460</v>
      </c>
      <c r="AN4" s="394">
        <v>1522</v>
      </c>
      <c r="AO4" s="394">
        <v>1782</v>
      </c>
      <c r="AP4" s="394">
        <v>1819</v>
      </c>
      <c r="AQ4" s="118">
        <v>51</v>
      </c>
      <c r="AR4" s="1245">
        <v>113</v>
      </c>
      <c r="AS4" s="1247">
        <v>10760.65</v>
      </c>
      <c r="AT4" s="140">
        <v>53</v>
      </c>
      <c r="AU4" s="1245">
        <v>124</v>
      </c>
      <c r="AV4" s="1247">
        <v>12262.62</v>
      </c>
      <c r="AW4" s="140">
        <v>23</v>
      </c>
      <c r="AX4" s="1245">
        <v>70</v>
      </c>
      <c r="AY4" s="1247">
        <v>7333.5</v>
      </c>
      <c r="AZ4" s="329">
        <v>34</v>
      </c>
      <c r="BA4" s="329">
        <v>3614</v>
      </c>
      <c r="BB4" s="140">
        <v>49</v>
      </c>
      <c r="BC4" s="1245">
        <v>124</v>
      </c>
      <c r="BD4" s="1247">
        <v>11808.15</v>
      </c>
      <c r="BE4" s="140">
        <v>52</v>
      </c>
      <c r="BF4" s="1245">
        <v>145</v>
      </c>
      <c r="BG4" s="1247">
        <v>14340.65</v>
      </c>
      <c r="BH4" s="140">
        <v>25</v>
      </c>
      <c r="BI4" s="1278">
        <v>70</v>
      </c>
      <c r="BJ4" s="1276">
        <v>7333.48</v>
      </c>
      <c r="BK4" s="394">
        <v>40</v>
      </c>
      <c r="BL4" s="394">
        <v>4284</v>
      </c>
      <c r="BM4" s="140">
        <v>25</v>
      </c>
      <c r="BN4" s="1245">
        <v>69</v>
      </c>
      <c r="BO4" s="1247">
        <v>6570.7</v>
      </c>
      <c r="BP4" s="140">
        <v>25</v>
      </c>
      <c r="BQ4" s="1245">
        <v>117</v>
      </c>
      <c r="BR4" s="1247">
        <v>2754</v>
      </c>
      <c r="BS4" s="140">
        <v>20</v>
      </c>
      <c r="BT4" s="1248">
        <v>44</v>
      </c>
      <c r="BU4" s="1247">
        <v>4610</v>
      </c>
      <c r="BV4" s="384">
        <v>25</v>
      </c>
      <c r="BW4" s="385">
        <v>2693</v>
      </c>
    </row>
    <row r="5" spans="1:75">
      <c r="A5" s="15" t="s">
        <v>36</v>
      </c>
      <c r="B5" s="121">
        <v>4239</v>
      </c>
      <c r="C5" s="121">
        <v>4196</v>
      </c>
      <c r="D5" s="121">
        <v>18843</v>
      </c>
      <c r="E5" s="120">
        <v>3279</v>
      </c>
      <c r="F5" s="121">
        <v>3235</v>
      </c>
      <c r="G5" s="122">
        <v>15362</v>
      </c>
      <c r="H5" s="121">
        <v>1656</v>
      </c>
      <c r="I5" s="121">
        <v>1875</v>
      </c>
      <c r="J5" s="122">
        <v>11199</v>
      </c>
      <c r="K5" s="120">
        <f>3179+310</f>
        <v>3489</v>
      </c>
      <c r="L5" s="122">
        <v>18962.87</v>
      </c>
      <c r="M5" s="121">
        <v>3001</v>
      </c>
      <c r="N5" s="121">
        <v>2992</v>
      </c>
      <c r="O5" s="121">
        <v>14473</v>
      </c>
      <c r="P5" s="120">
        <v>3531</v>
      </c>
      <c r="Q5" s="121">
        <v>3370</v>
      </c>
      <c r="R5" s="122">
        <v>16328</v>
      </c>
      <c r="S5" s="120">
        <v>2652</v>
      </c>
      <c r="T5" s="1274"/>
      <c r="U5" s="1275"/>
      <c r="V5" s="1166">
        <v>3394</v>
      </c>
      <c r="W5" s="1167">
        <v>18832.97</v>
      </c>
      <c r="X5" s="1313"/>
      <c r="Y5" s="1275"/>
      <c r="Z5" s="1313"/>
      <c r="AA5" s="1275"/>
      <c r="AB5" s="1313"/>
      <c r="AC5" s="1275"/>
      <c r="AD5" s="1289"/>
      <c r="AE5" s="1317"/>
      <c r="AF5" s="123">
        <v>1324</v>
      </c>
      <c r="AG5" s="1246"/>
      <c r="AH5" s="1243"/>
      <c r="AI5" s="123">
        <v>1282</v>
      </c>
      <c r="AJ5" s="1246"/>
      <c r="AK5" s="1243"/>
      <c r="AL5" s="124">
        <v>378</v>
      </c>
      <c r="AM5" s="394">
        <v>1318</v>
      </c>
      <c r="AN5" s="394">
        <v>1375</v>
      </c>
      <c r="AO5" s="394">
        <v>1609</v>
      </c>
      <c r="AP5" s="394">
        <v>1643</v>
      </c>
      <c r="AQ5" s="123">
        <v>36</v>
      </c>
      <c r="AR5" s="1246"/>
      <c r="AS5" s="1243"/>
      <c r="AT5" s="141">
        <v>36</v>
      </c>
      <c r="AU5" s="1246"/>
      <c r="AV5" s="1243"/>
      <c r="AW5" s="141">
        <v>25</v>
      </c>
      <c r="AX5" s="1246"/>
      <c r="AY5" s="1243"/>
      <c r="AZ5" s="328">
        <v>31</v>
      </c>
      <c r="BA5" s="328">
        <v>3265</v>
      </c>
      <c r="BB5" s="141">
        <v>36</v>
      </c>
      <c r="BC5" s="1246"/>
      <c r="BD5" s="1243"/>
      <c r="BE5" s="141">
        <v>40</v>
      </c>
      <c r="BF5" s="1246"/>
      <c r="BG5" s="1243"/>
      <c r="BH5" s="141">
        <v>19</v>
      </c>
      <c r="BI5" s="1279"/>
      <c r="BJ5" s="1277"/>
      <c r="BK5" s="394">
        <v>36</v>
      </c>
      <c r="BL5" s="394">
        <v>3870</v>
      </c>
      <c r="BM5" s="141">
        <v>19</v>
      </c>
      <c r="BN5" s="1246"/>
      <c r="BO5" s="1243"/>
      <c r="BP5" s="141">
        <v>42</v>
      </c>
      <c r="BQ5" s="1246"/>
      <c r="BR5" s="1243"/>
      <c r="BS5" s="141">
        <v>15</v>
      </c>
      <c r="BT5" s="1249"/>
      <c r="BU5" s="1243"/>
      <c r="BV5" s="384">
        <v>23</v>
      </c>
      <c r="BW5" s="385">
        <v>2432</v>
      </c>
    </row>
    <row r="6" spans="1:75">
      <c r="A6" s="15" t="s">
        <v>37</v>
      </c>
      <c r="B6" s="121">
        <v>5712</v>
      </c>
      <c r="C6" s="121">
        <v>5716</v>
      </c>
      <c r="D6" s="121">
        <v>24877</v>
      </c>
      <c r="E6" s="120">
        <v>1855</v>
      </c>
      <c r="F6" s="121">
        <v>1872</v>
      </c>
      <c r="G6" s="122">
        <v>9861</v>
      </c>
      <c r="H6" s="121">
        <v>1158</v>
      </c>
      <c r="I6" s="121">
        <v>1027</v>
      </c>
      <c r="J6" s="122">
        <v>7185</v>
      </c>
      <c r="K6" s="120">
        <f>2969+334</f>
        <v>3303</v>
      </c>
      <c r="L6" s="122">
        <v>18030.52</v>
      </c>
      <c r="M6" s="121">
        <v>3973</v>
      </c>
      <c r="N6" s="121">
        <v>3984</v>
      </c>
      <c r="O6" s="121">
        <v>18955</v>
      </c>
      <c r="P6" s="120">
        <v>1993</v>
      </c>
      <c r="Q6" s="121">
        <v>2077</v>
      </c>
      <c r="R6" s="122">
        <v>10440</v>
      </c>
      <c r="S6" s="120">
        <v>1809</v>
      </c>
      <c r="T6" s="1274"/>
      <c r="U6" s="1275"/>
      <c r="V6" s="1166">
        <v>3592</v>
      </c>
      <c r="W6" s="1167">
        <v>19851.73</v>
      </c>
      <c r="X6" s="1313"/>
      <c r="Y6" s="1275"/>
      <c r="Z6" s="1313"/>
      <c r="AA6" s="1275"/>
      <c r="AB6" s="1313"/>
      <c r="AC6" s="1275"/>
      <c r="AD6" s="1289"/>
      <c r="AE6" s="1317"/>
      <c r="AF6" s="123">
        <v>1899</v>
      </c>
      <c r="AG6" s="1246"/>
      <c r="AH6" s="1243"/>
      <c r="AI6" s="123">
        <v>390</v>
      </c>
      <c r="AJ6" s="1246"/>
      <c r="AK6" s="1243"/>
      <c r="AL6" s="124">
        <v>176</v>
      </c>
      <c r="AM6" s="394">
        <v>1460</v>
      </c>
      <c r="AN6" s="394">
        <v>1522</v>
      </c>
      <c r="AO6" s="394">
        <v>1782</v>
      </c>
      <c r="AP6" s="394">
        <v>1819</v>
      </c>
      <c r="AQ6" s="123">
        <v>54</v>
      </c>
      <c r="AR6" s="1246"/>
      <c r="AS6" s="1243"/>
      <c r="AT6" s="141">
        <v>19</v>
      </c>
      <c r="AU6" s="1246"/>
      <c r="AV6" s="1243"/>
      <c r="AW6" s="141">
        <v>12</v>
      </c>
      <c r="AX6" s="1246"/>
      <c r="AY6" s="1243"/>
      <c r="AZ6" s="328">
        <v>18</v>
      </c>
      <c r="BA6" s="328">
        <v>1864</v>
      </c>
      <c r="BB6" s="141">
        <v>52</v>
      </c>
      <c r="BC6" s="1246"/>
      <c r="BD6" s="1243"/>
      <c r="BE6" s="141">
        <v>31</v>
      </c>
      <c r="BF6" s="1246"/>
      <c r="BG6" s="1243"/>
      <c r="BH6" s="141">
        <v>21</v>
      </c>
      <c r="BI6" s="1246">
        <v>375</v>
      </c>
      <c r="BJ6" s="1243">
        <v>39287</v>
      </c>
      <c r="BK6" s="394">
        <v>42</v>
      </c>
      <c r="BL6" s="394">
        <v>4643</v>
      </c>
      <c r="BM6" s="141">
        <v>34</v>
      </c>
      <c r="BN6" s="1246"/>
      <c r="BO6" s="1243"/>
      <c r="BP6" s="141">
        <v>11</v>
      </c>
      <c r="BQ6" s="1246"/>
      <c r="BR6" s="1243"/>
      <c r="BS6" s="141">
        <v>17</v>
      </c>
      <c r="BT6" s="1249"/>
      <c r="BU6" s="1243"/>
      <c r="BV6" s="384">
        <v>14</v>
      </c>
      <c r="BW6" s="385">
        <v>1477</v>
      </c>
    </row>
    <row r="7" spans="1:75">
      <c r="A7" s="15" t="s">
        <v>38</v>
      </c>
      <c r="B7" s="121">
        <v>5085</v>
      </c>
      <c r="C7" s="121">
        <v>4852</v>
      </c>
      <c r="D7" s="121">
        <v>21601</v>
      </c>
      <c r="E7" s="120">
        <v>771</v>
      </c>
      <c r="F7" s="121">
        <v>773</v>
      </c>
      <c r="G7" s="122">
        <v>5404</v>
      </c>
      <c r="H7" s="121">
        <v>1228</v>
      </c>
      <c r="I7" s="121">
        <v>1248</v>
      </c>
      <c r="J7" s="122">
        <v>8240</v>
      </c>
      <c r="K7" s="542">
        <f>3004+360</f>
        <v>3364</v>
      </c>
      <c r="L7" s="542">
        <v>18263.3</v>
      </c>
      <c r="M7" s="121">
        <v>3643</v>
      </c>
      <c r="N7" s="121">
        <v>3516</v>
      </c>
      <c r="O7" s="121">
        <v>16840</v>
      </c>
      <c r="P7" s="120">
        <v>780</v>
      </c>
      <c r="Q7" s="121">
        <v>775</v>
      </c>
      <c r="R7" s="122">
        <v>4511</v>
      </c>
      <c r="S7" s="120">
        <v>2146</v>
      </c>
      <c r="T7" s="1285"/>
      <c r="U7" s="1287"/>
      <c r="V7" s="1166">
        <v>3294</v>
      </c>
      <c r="W7" s="1167">
        <v>18318.439999999999</v>
      </c>
      <c r="X7" s="1313"/>
      <c r="Y7" s="1275"/>
      <c r="Z7" s="1313"/>
      <c r="AA7" s="1275"/>
      <c r="AB7" s="1313"/>
      <c r="AC7" s="1275"/>
      <c r="AD7" s="1289"/>
      <c r="AE7" s="1317"/>
      <c r="AF7" s="123">
        <v>1770</v>
      </c>
      <c r="AG7" s="1246"/>
      <c r="AH7" s="1243"/>
      <c r="AI7" s="123">
        <v>12</v>
      </c>
      <c r="AJ7" s="1246"/>
      <c r="AK7" s="1243"/>
      <c r="AL7" s="124">
        <v>698</v>
      </c>
      <c r="AM7" s="394">
        <v>1413</v>
      </c>
      <c r="AN7" s="394">
        <v>1473</v>
      </c>
      <c r="AO7" s="394">
        <v>1724</v>
      </c>
      <c r="AP7" s="394">
        <v>1760</v>
      </c>
      <c r="AQ7" s="123">
        <v>48</v>
      </c>
      <c r="AR7" s="1246"/>
      <c r="AS7" s="1243"/>
      <c r="AT7" s="141">
        <v>3.2</v>
      </c>
      <c r="AU7" s="1246"/>
      <c r="AV7" s="1243"/>
      <c r="AW7" s="141">
        <v>19</v>
      </c>
      <c r="AX7" s="1246">
        <v>316</v>
      </c>
      <c r="AY7" s="1243">
        <v>33105.42</v>
      </c>
      <c r="AZ7" s="1303">
        <v>351</v>
      </c>
      <c r="BA7" s="1277">
        <v>39471</v>
      </c>
      <c r="BB7" s="141">
        <v>56</v>
      </c>
      <c r="BC7" s="1246">
        <v>343</v>
      </c>
      <c r="BD7" s="1243">
        <v>32662.86</v>
      </c>
      <c r="BE7" s="141">
        <v>14</v>
      </c>
      <c r="BF7" s="1246"/>
      <c r="BG7" s="1243"/>
      <c r="BH7" s="141">
        <v>19</v>
      </c>
      <c r="BI7" s="1246"/>
      <c r="BJ7" s="1243"/>
      <c r="BK7" s="394">
        <v>45</v>
      </c>
      <c r="BL7" s="394">
        <v>5210</v>
      </c>
      <c r="BM7" s="141">
        <v>24</v>
      </c>
      <c r="BN7" s="1246">
        <v>229</v>
      </c>
      <c r="BO7" s="1243">
        <v>21807</v>
      </c>
      <c r="BP7" s="141">
        <v>2.09</v>
      </c>
      <c r="BQ7" s="1246"/>
      <c r="BR7" s="1243"/>
      <c r="BS7" s="141">
        <v>11</v>
      </c>
      <c r="BT7" s="1249">
        <v>235</v>
      </c>
      <c r="BU7" s="1243">
        <v>24620</v>
      </c>
      <c r="BV7" s="1308">
        <v>300.24950000000001</v>
      </c>
      <c r="BW7" s="1309">
        <v>8967.42</v>
      </c>
    </row>
    <row r="8" spans="1:75">
      <c r="A8" s="15" t="s">
        <v>39</v>
      </c>
      <c r="B8" s="121">
        <v>5097</v>
      </c>
      <c r="C8" s="121">
        <v>5259</v>
      </c>
      <c r="D8" s="121">
        <v>23230</v>
      </c>
      <c r="E8" s="120">
        <v>817</v>
      </c>
      <c r="F8" s="121">
        <v>898</v>
      </c>
      <c r="G8" s="122">
        <v>6079</v>
      </c>
      <c r="H8" s="121">
        <v>2220</v>
      </c>
      <c r="I8" s="121">
        <v>2348</v>
      </c>
      <c r="J8" s="122">
        <v>13305</v>
      </c>
      <c r="K8" s="390">
        <f>2848+303</f>
        <v>3151</v>
      </c>
      <c r="L8" s="391">
        <v>17377.689999999999</v>
      </c>
      <c r="M8" s="121">
        <v>3896</v>
      </c>
      <c r="N8" s="121">
        <v>4022</v>
      </c>
      <c r="O8" s="121">
        <v>19126</v>
      </c>
      <c r="P8" s="120">
        <v>1130</v>
      </c>
      <c r="Q8" s="121">
        <v>1166</v>
      </c>
      <c r="R8" s="122">
        <v>6291</v>
      </c>
      <c r="S8" s="120">
        <v>3266</v>
      </c>
      <c r="T8" s="121">
        <v>3371</v>
      </c>
      <c r="U8" s="122">
        <v>18209.62</v>
      </c>
      <c r="V8" s="1168">
        <v>3783</v>
      </c>
      <c r="W8" s="1168">
        <v>20834.48</v>
      </c>
      <c r="X8" s="1313"/>
      <c r="Y8" s="1275"/>
      <c r="Z8" s="1313"/>
      <c r="AA8" s="1275"/>
      <c r="AB8" s="1313"/>
      <c r="AC8" s="1275"/>
      <c r="AD8" s="1289"/>
      <c r="AE8" s="1317"/>
      <c r="AF8" s="123">
        <v>1730</v>
      </c>
      <c r="AG8" s="1246"/>
      <c r="AH8" s="1243"/>
      <c r="AI8" s="123">
        <v>189</v>
      </c>
      <c r="AJ8" s="1246"/>
      <c r="AK8" s="1243"/>
      <c r="AL8" s="124">
        <v>721</v>
      </c>
      <c r="AM8" s="394">
        <v>1460</v>
      </c>
      <c r="AN8" s="394">
        <v>1522</v>
      </c>
      <c r="AO8" s="394">
        <v>1782</v>
      </c>
      <c r="AP8" s="394">
        <v>1819</v>
      </c>
      <c r="AQ8" s="123">
        <v>52</v>
      </c>
      <c r="AR8" s="1246">
        <v>290</v>
      </c>
      <c r="AS8" s="1243">
        <v>27615.83</v>
      </c>
      <c r="AT8" s="141">
        <v>14</v>
      </c>
      <c r="AU8" s="1246">
        <v>119</v>
      </c>
      <c r="AV8" s="1243">
        <v>11769.22</v>
      </c>
      <c r="AW8" s="141">
        <v>43</v>
      </c>
      <c r="AX8" s="1246"/>
      <c r="AY8" s="1243"/>
      <c r="AZ8" s="1304"/>
      <c r="BA8" s="1306"/>
      <c r="BB8" s="141">
        <v>52</v>
      </c>
      <c r="BC8" s="1246"/>
      <c r="BD8" s="1243"/>
      <c r="BE8" s="141">
        <v>18</v>
      </c>
      <c r="BF8" s="1246">
        <v>139</v>
      </c>
      <c r="BG8" s="1243">
        <v>13747.24</v>
      </c>
      <c r="BH8" s="141">
        <v>36</v>
      </c>
      <c r="BI8" s="1246"/>
      <c r="BJ8" s="1243"/>
      <c r="BK8" s="394">
        <v>47</v>
      </c>
      <c r="BL8" s="394">
        <v>5384</v>
      </c>
      <c r="BM8" s="141">
        <v>28</v>
      </c>
      <c r="BN8" s="1246"/>
      <c r="BO8" s="1243"/>
      <c r="BP8" s="141">
        <v>9.6</v>
      </c>
      <c r="BQ8" s="1246"/>
      <c r="BR8" s="1243"/>
      <c r="BS8" s="141">
        <v>28</v>
      </c>
      <c r="BT8" s="1249"/>
      <c r="BU8" s="1243"/>
      <c r="BV8" s="1304"/>
      <c r="BW8" s="1306"/>
    </row>
    <row r="9" spans="1:75">
      <c r="A9" s="15" t="s">
        <v>40</v>
      </c>
      <c r="B9" s="121">
        <v>3333</v>
      </c>
      <c r="C9" s="121">
        <v>3145</v>
      </c>
      <c r="D9" s="121">
        <v>14898</v>
      </c>
      <c r="E9" s="120">
        <v>1301</v>
      </c>
      <c r="F9" s="121">
        <v>1233</v>
      </c>
      <c r="G9" s="122">
        <v>7469</v>
      </c>
      <c r="H9" s="121">
        <v>2137</v>
      </c>
      <c r="I9" s="121">
        <v>2078</v>
      </c>
      <c r="J9" s="122">
        <v>12048</v>
      </c>
      <c r="K9" s="120">
        <f>2179+342</f>
        <v>2521</v>
      </c>
      <c r="L9" s="122">
        <v>14310.94</v>
      </c>
      <c r="M9" s="121">
        <v>3836</v>
      </c>
      <c r="N9" s="121">
        <v>3761</v>
      </c>
      <c r="O9" s="121">
        <v>17947</v>
      </c>
      <c r="P9" s="120">
        <v>1759</v>
      </c>
      <c r="Q9" s="121">
        <v>1731</v>
      </c>
      <c r="R9" s="122">
        <v>8864</v>
      </c>
      <c r="S9" s="120">
        <v>4534</v>
      </c>
      <c r="T9" s="121">
        <v>4557</v>
      </c>
      <c r="U9" s="122">
        <v>24236.51</v>
      </c>
      <c r="V9" s="1168">
        <v>3783</v>
      </c>
      <c r="W9" s="1168">
        <v>20834.48</v>
      </c>
      <c r="X9" s="1313"/>
      <c r="Y9" s="1275"/>
      <c r="Z9" s="1313"/>
      <c r="AA9" s="1275"/>
      <c r="AB9" s="1313"/>
      <c r="AC9" s="1275"/>
      <c r="AD9" s="1289"/>
      <c r="AE9" s="1317"/>
      <c r="AF9" s="123">
        <v>1386</v>
      </c>
      <c r="AG9" s="1246"/>
      <c r="AH9" s="1243"/>
      <c r="AI9" s="123">
        <v>366</v>
      </c>
      <c r="AJ9" s="1246"/>
      <c r="AK9" s="1243"/>
      <c r="AL9" s="124">
        <v>1200</v>
      </c>
      <c r="AM9" s="394">
        <v>1413</v>
      </c>
      <c r="AN9" s="394">
        <v>1473</v>
      </c>
      <c r="AO9" s="394">
        <v>1724</v>
      </c>
      <c r="AP9" s="394">
        <v>1760</v>
      </c>
      <c r="AQ9" s="123">
        <v>49</v>
      </c>
      <c r="AR9" s="1246"/>
      <c r="AS9" s="1243"/>
      <c r="AT9" s="141">
        <v>24</v>
      </c>
      <c r="AU9" s="1246"/>
      <c r="AV9" s="1243"/>
      <c r="AW9" s="141">
        <v>50</v>
      </c>
      <c r="AX9" s="1246"/>
      <c r="AY9" s="1243"/>
      <c r="AZ9" s="1304"/>
      <c r="BA9" s="1306"/>
      <c r="BB9" s="141">
        <v>47</v>
      </c>
      <c r="BC9" s="1246"/>
      <c r="BD9" s="1243"/>
      <c r="BE9" s="141">
        <v>26</v>
      </c>
      <c r="BF9" s="1246"/>
      <c r="BG9" s="1243"/>
      <c r="BH9" s="141">
        <v>47</v>
      </c>
      <c r="BI9" s="1246"/>
      <c r="BJ9" s="1243"/>
      <c r="BK9" s="394">
        <v>45</v>
      </c>
      <c r="BL9" s="394">
        <v>5210</v>
      </c>
      <c r="BM9" s="141">
        <v>33</v>
      </c>
      <c r="BN9" s="1246"/>
      <c r="BO9" s="1243"/>
      <c r="BP9" s="141">
        <v>35</v>
      </c>
      <c r="BQ9" s="1246">
        <v>128</v>
      </c>
      <c r="BR9" s="1243">
        <v>12659</v>
      </c>
      <c r="BS9" s="141">
        <v>33</v>
      </c>
      <c r="BT9" s="1249"/>
      <c r="BU9" s="1243"/>
      <c r="BV9" s="1304"/>
      <c r="BW9" s="1306"/>
    </row>
    <row r="10" spans="1:75">
      <c r="A10" s="15" t="s">
        <v>41</v>
      </c>
      <c r="B10" s="121">
        <v>1243</v>
      </c>
      <c r="C10" s="121">
        <v>1171</v>
      </c>
      <c r="D10" s="121">
        <v>6986</v>
      </c>
      <c r="E10" s="120">
        <v>590</v>
      </c>
      <c r="F10" s="121">
        <v>573</v>
      </c>
      <c r="G10" s="122">
        <v>4785</v>
      </c>
      <c r="H10" s="121">
        <v>771</v>
      </c>
      <c r="I10" s="121">
        <v>729</v>
      </c>
      <c r="J10" s="122">
        <v>5860</v>
      </c>
      <c r="K10" s="120">
        <f>618+212</f>
        <v>830</v>
      </c>
      <c r="L10" s="122">
        <v>6585.11</v>
      </c>
      <c r="M10" s="121">
        <v>768</v>
      </c>
      <c r="N10" s="1274">
        <v>13677</v>
      </c>
      <c r="O10" s="1275">
        <v>66566.11</v>
      </c>
      <c r="P10" s="120">
        <v>626</v>
      </c>
      <c r="Q10" s="121">
        <v>614</v>
      </c>
      <c r="R10" s="122">
        <v>3778</v>
      </c>
      <c r="S10" s="120">
        <v>135</v>
      </c>
      <c r="T10" s="1310">
        <v>1235</v>
      </c>
      <c r="U10" s="1311">
        <v>8434.34</v>
      </c>
      <c r="V10" s="1169">
        <v>827</v>
      </c>
      <c r="W10" s="1170">
        <v>5625.1</v>
      </c>
      <c r="X10" s="1313"/>
      <c r="Y10" s="1275"/>
      <c r="Z10" s="1313"/>
      <c r="AA10" s="1275"/>
      <c r="AB10" s="1313"/>
      <c r="AC10" s="1275"/>
      <c r="AD10" s="1289"/>
      <c r="AE10" s="1317"/>
      <c r="AF10" s="123">
        <v>45</v>
      </c>
      <c r="AG10" s="1279">
        <v>1368</v>
      </c>
      <c r="AH10" s="1277">
        <v>1784</v>
      </c>
      <c r="AI10" s="123">
        <v>9.3000000000000007</v>
      </c>
      <c r="AJ10" s="1246"/>
      <c r="AK10" s="1243"/>
      <c r="AL10" s="124">
        <v>130</v>
      </c>
      <c r="AM10" s="394">
        <v>1460</v>
      </c>
      <c r="AN10" s="394">
        <v>1522</v>
      </c>
      <c r="AO10" s="394">
        <v>1782</v>
      </c>
      <c r="AP10" s="394">
        <v>1819</v>
      </c>
      <c r="AQ10" s="123">
        <v>6.8</v>
      </c>
      <c r="AR10" s="1246"/>
      <c r="AS10" s="1243"/>
      <c r="AT10" s="141">
        <v>5.0599999999999996</v>
      </c>
      <c r="AU10" s="1246"/>
      <c r="AV10" s="1243"/>
      <c r="AW10" s="141">
        <v>9.6999999999999993</v>
      </c>
      <c r="AX10" s="1246"/>
      <c r="AY10" s="1243"/>
      <c r="AZ10" s="1304"/>
      <c r="BA10" s="1306"/>
      <c r="BB10" s="141">
        <v>28</v>
      </c>
      <c r="BC10" s="1246"/>
      <c r="BD10" s="1243"/>
      <c r="BE10" s="141">
        <v>15</v>
      </c>
      <c r="BF10" s="1246"/>
      <c r="BG10" s="1243"/>
      <c r="BH10" s="141">
        <v>20</v>
      </c>
      <c r="BI10" s="1246"/>
      <c r="BJ10" s="1243"/>
      <c r="BK10" s="394">
        <v>47</v>
      </c>
      <c r="BL10" s="394">
        <v>5384</v>
      </c>
      <c r="BM10" s="141">
        <v>25</v>
      </c>
      <c r="BN10" s="1246"/>
      <c r="BO10" s="1243"/>
      <c r="BP10" s="141">
        <v>2.0099999999999998</v>
      </c>
      <c r="BQ10" s="1246"/>
      <c r="BR10" s="1243"/>
      <c r="BS10" s="141">
        <v>3.5</v>
      </c>
      <c r="BT10" s="1249"/>
      <c r="BU10" s="1243"/>
      <c r="BV10" s="1304"/>
      <c r="BW10" s="1306"/>
    </row>
    <row r="11" spans="1:75">
      <c r="A11" s="15" t="s">
        <v>42</v>
      </c>
      <c r="B11" s="121">
        <v>1316</v>
      </c>
      <c r="C11" s="121">
        <v>1129</v>
      </c>
      <c r="D11" s="121">
        <v>6933</v>
      </c>
      <c r="E11" s="120">
        <v>891</v>
      </c>
      <c r="F11" s="121">
        <v>977</v>
      </c>
      <c r="G11" s="122">
        <v>6424</v>
      </c>
      <c r="H11" s="121">
        <v>1297</v>
      </c>
      <c r="I11" s="121">
        <v>1359</v>
      </c>
      <c r="J11" s="122">
        <v>8727</v>
      </c>
      <c r="K11" s="120">
        <f>800+191</f>
        <v>991</v>
      </c>
      <c r="L11" s="122">
        <v>7392.63</v>
      </c>
      <c r="M11" s="121">
        <v>1069</v>
      </c>
      <c r="N11" s="1274"/>
      <c r="O11" s="1275"/>
      <c r="P11" s="120">
        <v>1378</v>
      </c>
      <c r="Q11" s="121">
        <v>1422</v>
      </c>
      <c r="R11" s="122">
        <v>7457</v>
      </c>
      <c r="S11" s="120">
        <v>1157</v>
      </c>
      <c r="T11" s="1285"/>
      <c r="U11" s="1287"/>
      <c r="V11" s="1171">
        <v>1132.2</v>
      </c>
      <c r="W11" s="1172">
        <v>14750.56</v>
      </c>
      <c r="X11" s="1313"/>
      <c r="Y11" s="1275"/>
      <c r="Z11" s="1313"/>
      <c r="AA11" s="1275"/>
      <c r="AB11" s="1313"/>
      <c r="AC11" s="1275"/>
      <c r="AD11" s="1289"/>
      <c r="AE11" s="1317"/>
      <c r="AF11" s="123">
        <v>183</v>
      </c>
      <c r="AG11" s="1279"/>
      <c r="AH11" s="1277"/>
      <c r="AI11" s="123">
        <v>9.0090000000000003</v>
      </c>
      <c r="AJ11" s="1246"/>
      <c r="AK11" s="1243"/>
      <c r="AL11" s="124">
        <v>194</v>
      </c>
      <c r="AM11" s="394">
        <v>1460</v>
      </c>
      <c r="AN11" s="394">
        <v>1522</v>
      </c>
      <c r="AO11" s="394">
        <v>1782</v>
      </c>
      <c r="AP11" s="394">
        <v>1819</v>
      </c>
      <c r="AQ11" s="123">
        <v>11</v>
      </c>
      <c r="AR11" s="1246"/>
      <c r="AS11" s="1243"/>
      <c r="AT11" s="141">
        <v>8.6999999999999993</v>
      </c>
      <c r="AU11" s="1246"/>
      <c r="AV11" s="1243"/>
      <c r="AW11" s="141">
        <v>14</v>
      </c>
      <c r="AX11" s="1246"/>
      <c r="AY11" s="1243"/>
      <c r="AZ11" s="1304"/>
      <c r="BA11" s="1306"/>
      <c r="BB11" s="141">
        <v>29</v>
      </c>
      <c r="BC11" s="1246"/>
      <c r="BD11" s="1243"/>
      <c r="BE11" s="141">
        <v>18</v>
      </c>
      <c r="BF11" s="1246"/>
      <c r="BG11" s="1243"/>
      <c r="BH11" s="141">
        <v>31</v>
      </c>
      <c r="BI11" s="1246"/>
      <c r="BJ11" s="1243"/>
      <c r="BK11" s="394">
        <v>47</v>
      </c>
      <c r="BL11" s="394">
        <v>5384</v>
      </c>
      <c r="BM11" s="141">
        <v>5.5</v>
      </c>
      <c r="BN11" s="1246"/>
      <c r="BO11" s="1243"/>
      <c r="BP11" s="141">
        <v>2.9</v>
      </c>
      <c r="BQ11" s="1246"/>
      <c r="BR11" s="1243"/>
      <c r="BS11" s="141">
        <v>8.9</v>
      </c>
      <c r="BT11" s="1249"/>
      <c r="BU11" s="1243"/>
      <c r="BV11" s="1304"/>
      <c r="BW11" s="1306"/>
    </row>
    <row r="12" spans="1:75">
      <c r="A12" s="15" t="s">
        <v>43</v>
      </c>
      <c r="B12" s="121">
        <v>5156</v>
      </c>
      <c r="C12" s="121">
        <v>5716</v>
      </c>
      <c r="D12" s="121">
        <v>25040</v>
      </c>
      <c r="E12" s="120">
        <v>3244</v>
      </c>
      <c r="F12" s="121">
        <v>3389</v>
      </c>
      <c r="G12" s="122">
        <v>16007</v>
      </c>
      <c r="H12" s="121">
        <v>3370</v>
      </c>
      <c r="I12" s="121">
        <v>3469</v>
      </c>
      <c r="J12" s="122">
        <v>18344</v>
      </c>
      <c r="K12" s="120">
        <f>2982+311</f>
        <v>3293</v>
      </c>
      <c r="L12" s="122">
        <v>18032.75</v>
      </c>
      <c r="M12" s="121">
        <v>3603</v>
      </c>
      <c r="N12" s="1274"/>
      <c r="O12" s="1275"/>
      <c r="P12" s="120">
        <v>3903</v>
      </c>
      <c r="Q12" s="121">
        <v>3947</v>
      </c>
      <c r="R12" s="122">
        <v>18956</v>
      </c>
      <c r="S12" s="120">
        <v>3211</v>
      </c>
      <c r="T12" s="121">
        <v>3246</v>
      </c>
      <c r="U12" s="122">
        <v>17574.400000000001</v>
      </c>
      <c r="V12" s="1168">
        <v>3343</v>
      </c>
      <c r="W12" s="1168">
        <v>18570.57</v>
      </c>
      <c r="X12" s="1313"/>
      <c r="Y12" s="1275"/>
      <c r="Z12" s="1313"/>
      <c r="AA12" s="1275"/>
      <c r="AB12" s="1313"/>
      <c r="AC12" s="1275"/>
      <c r="AD12" s="1289"/>
      <c r="AE12" s="1317"/>
      <c r="AF12" s="123">
        <v>1779</v>
      </c>
      <c r="AG12" s="1246">
        <v>4204</v>
      </c>
      <c r="AH12" s="1243">
        <v>4550.74</v>
      </c>
      <c r="AI12" s="123">
        <v>1701</v>
      </c>
      <c r="AJ12" s="1246"/>
      <c r="AK12" s="1243"/>
      <c r="AL12" s="124">
        <v>1210</v>
      </c>
      <c r="AM12" s="394">
        <v>1365</v>
      </c>
      <c r="AN12" s="394">
        <v>1424</v>
      </c>
      <c r="AO12" s="394">
        <v>1699</v>
      </c>
      <c r="AP12" s="394">
        <v>1733</v>
      </c>
      <c r="AQ12" s="123">
        <v>53</v>
      </c>
      <c r="AR12" s="1246"/>
      <c r="AS12" s="1243"/>
      <c r="AT12" s="141">
        <v>50</v>
      </c>
      <c r="AU12" s="1246">
        <v>118</v>
      </c>
      <c r="AV12" s="1243">
        <v>11670.32</v>
      </c>
      <c r="AW12" s="141">
        <v>38</v>
      </c>
      <c r="AX12" s="1246"/>
      <c r="AY12" s="1243"/>
      <c r="AZ12" s="1304"/>
      <c r="BA12" s="1306"/>
      <c r="BB12" s="141">
        <v>53</v>
      </c>
      <c r="BC12" s="1246"/>
      <c r="BD12" s="1243"/>
      <c r="BE12" s="141">
        <v>45</v>
      </c>
      <c r="BF12" s="1280">
        <v>118</v>
      </c>
      <c r="BG12" s="1282">
        <v>11670.32</v>
      </c>
      <c r="BH12" s="141">
        <v>57</v>
      </c>
      <c r="BI12" s="1246"/>
      <c r="BJ12" s="1243"/>
      <c r="BK12" s="394">
        <v>45</v>
      </c>
      <c r="BL12" s="394">
        <v>5210</v>
      </c>
      <c r="BM12" s="141">
        <v>41</v>
      </c>
      <c r="BN12" s="1246"/>
      <c r="BO12" s="1243"/>
      <c r="BP12" s="141">
        <v>37</v>
      </c>
      <c r="BQ12" s="1246"/>
      <c r="BR12" s="1243"/>
      <c r="BS12" s="141">
        <v>31</v>
      </c>
      <c r="BT12" s="1249"/>
      <c r="BU12" s="1243"/>
      <c r="BV12" s="1304"/>
      <c r="BW12" s="1306"/>
    </row>
    <row r="13" spans="1:75">
      <c r="A13" s="15" t="s">
        <v>44</v>
      </c>
      <c r="B13" s="121">
        <v>6570</v>
      </c>
      <c r="C13" s="121">
        <v>6479</v>
      </c>
      <c r="D13" s="121">
        <v>27870</v>
      </c>
      <c r="E13" s="120">
        <v>2684</v>
      </c>
      <c r="F13" s="121">
        <v>2422</v>
      </c>
      <c r="G13" s="122">
        <v>12164</v>
      </c>
      <c r="H13" s="121">
        <v>3997</v>
      </c>
      <c r="I13" s="121">
        <v>3892</v>
      </c>
      <c r="J13" s="122">
        <v>20186</v>
      </c>
      <c r="K13" s="120">
        <f>3086+360</f>
        <v>3446</v>
      </c>
      <c r="L13" s="122">
        <v>16587.54</v>
      </c>
      <c r="M13" s="121">
        <v>4323</v>
      </c>
      <c r="N13" s="1274"/>
      <c r="O13" s="1275"/>
      <c r="P13" s="120">
        <v>2914</v>
      </c>
      <c r="Q13" s="121">
        <v>2721</v>
      </c>
      <c r="R13" s="122">
        <v>13373</v>
      </c>
      <c r="S13" s="120">
        <v>3443</v>
      </c>
      <c r="T13" s="121">
        <v>3444</v>
      </c>
      <c r="U13" s="122">
        <v>18580.59</v>
      </c>
      <c r="V13" s="1168">
        <v>3203</v>
      </c>
      <c r="W13" s="1168">
        <v>15931.79</v>
      </c>
      <c r="X13" s="1313"/>
      <c r="Y13" s="1275"/>
      <c r="Z13" s="1313"/>
      <c r="AA13" s="1275"/>
      <c r="AB13" s="1313"/>
      <c r="AC13" s="1275"/>
      <c r="AD13" s="1289"/>
      <c r="AE13" s="1317"/>
      <c r="AF13" s="123">
        <v>1749</v>
      </c>
      <c r="AG13" s="1246"/>
      <c r="AH13" s="1243"/>
      <c r="AI13" s="123">
        <v>972</v>
      </c>
      <c r="AJ13" s="1246">
        <v>3621.25</v>
      </c>
      <c r="AK13" s="1243">
        <v>4167.41</v>
      </c>
      <c r="AL13" s="124">
        <v>1146</v>
      </c>
      <c r="AM13" s="394">
        <v>1782</v>
      </c>
      <c r="AN13" s="394">
        <v>1819</v>
      </c>
      <c r="AO13" s="394">
        <v>1855</v>
      </c>
      <c r="AP13" s="394">
        <v>1876</v>
      </c>
      <c r="AQ13" s="123">
        <v>57</v>
      </c>
      <c r="AR13" s="1246"/>
      <c r="AS13" s="1243"/>
      <c r="AT13" s="141">
        <v>33</v>
      </c>
      <c r="AU13" s="1246"/>
      <c r="AV13" s="1243"/>
      <c r="AW13" s="141">
        <v>42</v>
      </c>
      <c r="AX13" s="1246"/>
      <c r="AY13" s="1243"/>
      <c r="AZ13" s="1304"/>
      <c r="BA13" s="1306"/>
      <c r="BB13" s="141">
        <v>51</v>
      </c>
      <c r="BC13" s="1246"/>
      <c r="BD13" s="1243"/>
      <c r="BE13" s="141">
        <v>34</v>
      </c>
      <c r="BF13" s="1280"/>
      <c r="BG13" s="1282"/>
      <c r="BH13" s="141">
        <v>54</v>
      </c>
      <c r="BI13" s="1246"/>
      <c r="BJ13" s="1243"/>
      <c r="BK13" s="394">
        <v>47</v>
      </c>
      <c r="BL13" s="394">
        <v>5384</v>
      </c>
      <c r="BM13" s="141">
        <v>30</v>
      </c>
      <c r="BN13" s="1246"/>
      <c r="BO13" s="1243"/>
      <c r="BP13" s="141">
        <v>19</v>
      </c>
      <c r="BQ13" s="1246"/>
      <c r="BR13" s="1243"/>
      <c r="BS13" s="141">
        <v>30</v>
      </c>
      <c r="BT13" s="1249"/>
      <c r="BU13" s="1243"/>
      <c r="BV13" s="1304"/>
      <c r="BW13" s="1306"/>
    </row>
    <row r="14" spans="1:75">
      <c r="A14" s="15" t="s">
        <v>45</v>
      </c>
      <c r="B14" s="121">
        <v>5344</v>
      </c>
      <c r="C14" s="121">
        <v>5336</v>
      </c>
      <c r="D14" s="121">
        <v>23451</v>
      </c>
      <c r="E14" s="120">
        <v>1300</v>
      </c>
      <c r="F14" s="121">
        <v>1445</v>
      </c>
      <c r="G14" s="122">
        <v>8337</v>
      </c>
      <c r="H14" s="121">
        <v>4539</v>
      </c>
      <c r="I14" s="121">
        <v>4579</v>
      </c>
      <c r="J14" s="122">
        <v>19281</v>
      </c>
      <c r="K14" s="120">
        <f>3654+440</f>
        <v>4094</v>
      </c>
      <c r="L14" s="122">
        <v>19094.97</v>
      </c>
      <c r="M14" s="121">
        <v>3838</v>
      </c>
      <c r="N14" s="1274"/>
      <c r="O14" s="1275"/>
      <c r="P14" s="120">
        <v>2547</v>
      </c>
      <c r="Q14" s="121">
        <v>2626</v>
      </c>
      <c r="R14" s="122">
        <v>12940</v>
      </c>
      <c r="S14" s="120">
        <v>3970</v>
      </c>
      <c r="T14" s="393">
        <v>3864</v>
      </c>
      <c r="U14" s="391">
        <v>21251.24</v>
      </c>
      <c r="V14" s="393">
        <v>4736</v>
      </c>
      <c r="W14" s="393">
        <v>23254.720000000001</v>
      </c>
      <c r="X14" s="1313"/>
      <c r="Y14" s="1275"/>
      <c r="Z14" s="1313"/>
      <c r="AA14" s="1275"/>
      <c r="AB14" s="1313"/>
      <c r="AC14" s="1275"/>
      <c r="AD14" s="1289"/>
      <c r="AE14" s="1317"/>
      <c r="AF14" s="123">
        <v>1584</v>
      </c>
      <c r="AG14" s="1246"/>
      <c r="AH14" s="1243"/>
      <c r="AI14" s="123">
        <v>629</v>
      </c>
      <c r="AJ14" s="1246"/>
      <c r="AK14" s="1243"/>
      <c r="AL14" s="124">
        <v>1336</v>
      </c>
      <c r="AM14" s="394">
        <v>1724</v>
      </c>
      <c r="AN14" s="394">
        <v>1760</v>
      </c>
      <c r="AO14" s="394">
        <v>1812</v>
      </c>
      <c r="AP14" s="394">
        <v>1834</v>
      </c>
      <c r="AQ14" s="123">
        <v>51</v>
      </c>
      <c r="AR14" s="1246"/>
      <c r="AS14" s="1243"/>
      <c r="AT14" s="141">
        <v>34</v>
      </c>
      <c r="AU14" s="1246"/>
      <c r="AV14" s="1243"/>
      <c r="AW14" s="141">
        <v>43</v>
      </c>
      <c r="AX14" s="1246"/>
      <c r="AY14" s="1243"/>
      <c r="AZ14" s="1304"/>
      <c r="BA14" s="1306"/>
      <c r="BB14" s="141">
        <v>50</v>
      </c>
      <c r="BC14" s="1246"/>
      <c r="BD14" s="1243"/>
      <c r="BE14" s="141">
        <v>19</v>
      </c>
      <c r="BF14" s="1280"/>
      <c r="BG14" s="1282"/>
      <c r="BH14" s="141">
        <v>45</v>
      </c>
      <c r="BI14" s="1246"/>
      <c r="BJ14" s="1243"/>
      <c r="BK14" s="394">
        <v>45</v>
      </c>
      <c r="BL14" s="394">
        <v>5210</v>
      </c>
      <c r="BM14" s="141">
        <v>38</v>
      </c>
      <c r="BN14" s="1246"/>
      <c r="BO14" s="1243"/>
      <c r="BP14" s="141">
        <v>8.9</v>
      </c>
      <c r="BQ14" s="1246"/>
      <c r="BR14" s="1243"/>
      <c r="BS14" s="141">
        <v>32</v>
      </c>
      <c r="BT14" s="1249"/>
      <c r="BU14" s="1243"/>
      <c r="BV14" s="1304"/>
      <c r="BW14" s="1306"/>
    </row>
    <row r="15" spans="1:75">
      <c r="A15" s="16" t="s">
        <v>46</v>
      </c>
      <c r="B15" s="121">
        <v>3121</v>
      </c>
      <c r="C15" s="121">
        <v>3069</v>
      </c>
      <c r="D15" s="121">
        <v>14491</v>
      </c>
      <c r="E15" s="120">
        <v>2486</v>
      </c>
      <c r="F15" s="121">
        <v>2489</v>
      </c>
      <c r="G15" s="122">
        <v>12528</v>
      </c>
      <c r="H15" s="121">
        <v>2990</v>
      </c>
      <c r="I15" s="121">
        <f>2857+264</f>
        <v>3121</v>
      </c>
      <c r="J15" s="122">
        <v>13833.16</v>
      </c>
      <c r="K15" s="120">
        <f>2876+330</f>
        <v>3206</v>
      </c>
      <c r="L15" s="122">
        <v>14968</v>
      </c>
      <c r="M15" s="121">
        <v>2816</v>
      </c>
      <c r="N15" s="121">
        <v>2852</v>
      </c>
      <c r="O15" s="121">
        <v>13904</v>
      </c>
      <c r="P15" s="120">
        <v>2949</v>
      </c>
      <c r="Q15" s="121">
        <v>2951</v>
      </c>
      <c r="R15" s="122">
        <v>14420</v>
      </c>
      <c r="S15" s="120">
        <v>2877</v>
      </c>
      <c r="T15" s="393">
        <v>3394</v>
      </c>
      <c r="U15" s="391">
        <v>18832.97</v>
      </c>
      <c r="V15" s="393">
        <v>2005</v>
      </c>
      <c r="W15" s="393">
        <v>10131.870000000001</v>
      </c>
      <c r="X15" s="1315"/>
      <c r="Y15" s="1316"/>
      <c r="Z15" s="1314"/>
      <c r="AA15" s="1312"/>
      <c r="AB15" s="1314"/>
      <c r="AC15" s="1312"/>
      <c r="AD15" s="1290"/>
      <c r="AE15" s="1318"/>
      <c r="AF15" s="123">
        <v>1149</v>
      </c>
      <c r="AG15" s="1251"/>
      <c r="AH15" s="1244"/>
      <c r="AI15" s="123">
        <v>609</v>
      </c>
      <c r="AJ15" s="1251"/>
      <c r="AK15" s="1244"/>
      <c r="AL15" s="124">
        <v>973</v>
      </c>
      <c r="AM15" s="394">
        <v>1782</v>
      </c>
      <c r="AN15" s="394">
        <v>1819</v>
      </c>
      <c r="AO15" s="394">
        <v>1812</v>
      </c>
      <c r="AP15" s="394">
        <v>1834</v>
      </c>
      <c r="AQ15" s="123">
        <v>36</v>
      </c>
      <c r="AR15" s="1251"/>
      <c r="AS15" s="1244"/>
      <c r="AT15" s="141">
        <v>33</v>
      </c>
      <c r="AU15" s="1251"/>
      <c r="AV15" s="1244"/>
      <c r="AW15" s="141">
        <v>27</v>
      </c>
      <c r="AX15" s="1251"/>
      <c r="AY15" s="1244"/>
      <c r="AZ15" s="1305"/>
      <c r="BA15" s="1307"/>
      <c r="BB15" s="141">
        <v>35</v>
      </c>
      <c r="BC15" s="1251"/>
      <c r="BD15" s="1244"/>
      <c r="BE15" s="141">
        <v>29</v>
      </c>
      <c r="BF15" s="1281"/>
      <c r="BG15" s="1283"/>
      <c r="BH15" s="141">
        <v>32</v>
      </c>
      <c r="BI15" s="1251"/>
      <c r="BJ15" s="1244"/>
      <c r="BK15" s="394">
        <v>47</v>
      </c>
      <c r="BL15" s="394">
        <v>5384</v>
      </c>
      <c r="BM15" s="141">
        <v>21</v>
      </c>
      <c r="BN15" s="1251"/>
      <c r="BO15" s="1244"/>
      <c r="BP15" s="141">
        <v>23</v>
      </c>
      <c r="BQ15" s="1251"/>
      <c r="BR15" s="1244"/>
      <c r="BS15" s="141">
        <v>18</v>
      </c>
      <c r="BT15" s="1250"/>
      <c r="BU15" s="1244"/>
      <c r="BV15" s="1305"/>
      <c r="BW15" s="1307"/>
    </row>
    <row r="16" spans="1:75">
      <c r="A16" s="114" t="s">
        <v>4</v>
      </c>
      <c r="B16" s="129">
        <f t="shared" ref="B16:T16" si="0">SUM(B4:B15)</f>
        <v>52554</v>
      </c>
      <c r="C16" s="128">
        <f t="shared" si="0"/>
        <v>52574</v>
      </c>
      <c r="D16" s="130">
        <f>SUM(D4:D15)</f>
        <v>236028</v>
      </c>
      <c r="E16" s="129">
        <f t="shared" si="0"/>
        <v>23536</v>
      </c>
      <c r="F16" s="128">
        <f t="shared" si="0"/>
        <v>23428</v>
      </c>
      <c r="G16" s="130">
        <f>SUM(G4:G15)</f>
        <v>123274</v>
      </c>
      <c r="H16" s="129">
        <f t="shared" si="0"/>
        <v>27540</v>
      </c>
      <c r="I16" s="128">
        <f t="shared" si="0"/>
        <v>27702</v>
      </c>
      <c r="J16" s="130">
        <f>SUM(J4:J15)</f>
        <v>149858.16</v>
      </c>
      <c r="K16" s="129">
        <f>SUM(K4:K15)</f>
        <v>36069</v>
      </c>
      <c r="L16" s="130">
        <f>SUM(L4:L15)</f>
        <v>192652.25000000003</v>
      </c>
      <c r="M16" s="128">
        <f t="shared" si="0"/>
        <v>38649</v>
      </c>
      <c r="N16" s="128">
        <f t="shared" si="0"/>
        <v>38812</v>
      </c>
      <c r="O16" s="130">
        <f t="shared" si="0"/>
        <v>186874.11</v>
      </c>
      <c r="P16" s="129">
        <f t="shared" si="0"/>
        <v>27447</v>
      </c>
      <c r="Q16" s="128">
        <f t="shared" si="0"/>
        <v>27464</v>
      </c>
      <c r="R16" s="130">
        <f t="shared" si="0"/>
        <v>136847</v>
      </c>
      <c r="S16" s="129">
        <f t="shared" si="0"/>
        <v>32050</v>
      </c>
      <c r="T16" s="128">
        <f t="shared" si="0"/>
        <v>32561</v>
      </c>
      <c r="U16" s="130">
        <f>SUM(U4:U15)</f>
        <v>179458.66999999998</v>
      </c>
      <c r="V16" s="130">
        <f t="shared" ref="V16:W16" si="1">SUM(V4:V15)</f>
        <v>36956.199999999997</v>
      </c>
      <c r="W16" s="130">
        <f t="shared" si="1"/>
        <v>208187.95</v>
      </c>
      <c r="X16" s="125">
        <f>X4+X15</f>
        <v>862049</v>
      </c>
      <c r="Y16" s="126">
        <f>Y4+Y15</f>
        <v>2016978</v>
      </c>
      <c r="Z16" s="129">
        <v>844541</v>
      </c>
      <c r="AA16" s="130">
        <v>1862480</v>
      </c>
      <c r="AB16" s="128">
        <v>936971</v>
      </c>
      <c r="AC16" s="130">
        <v>2040000</v>
      </c>
      <c r="AD16" s="128">
        <f>SUM(AD4)</f>
        <v>968219</v>
      </c>
      <c r="AE16" s="130">
        <f>SUM(AE4)</f>
        <v>3087884.04</v>
      </c>
      <c r="AF16" s="132">
        <f>SUM(AF4:AF15)</f>
        <v>16283</v>
      </c>
      <c r="AG16" s="132">
        <f>AG4+AG5+AG10+AG12+AG13+AG14+AG15</f>
        <v>16371.09</v>
      </c>
      <c r="AH16" s="132">
        <f>AH4+AH5+AH10+AH12</f>
        <v>20521.080000000002</v>
      </c>
      <c r="AI16" s="131">
        <f>SUM(AI4:AI15)</f>
        <v>7754.3090000000002</v>
      </c>
      <c r="AJ16" s="132">
        <f>SUM(AJ4:AJ15)</f>
        <v>11026.25</v>
      </c>
      <c r="AK16" s="133">
        <v>13591</v>
      </c>
      <c r="AL16" s="132">
        <f>SUM(AL4:AL15)</f>
        <v>9000</v>
      </c>
      <c r="AM16" s="134">
        <f>SUM(AM4:AM15)</f>
        <v>18097</v>
      </c>
      <c r="AN16" s="135">
        <f>SUM(AN4:AN15)</f>
        <v>18753</v>
      </c>
      <c r="AO16" s="134">
        <f t="shared" ref="AO16:AP16" si="2">SUM(AO4:AO15)</f>
        <v>21145</v>
      </c>
      <c r="AP16" s="135">
        <f t="shared" si="2"/>
        <v>21535</v>
      </c>
      <c r="AQ16" s="132">
        <f>SUM(AQ4:AQ15)</f>
        <v>504.8</v>
      </c>
      <c r="AR16" s="132">
        <f>AR4+AR8</f>
        <v>403</v>
      </c>
      <c r="AS16" s="132">
        <f>AS4+AS8</f>
        <v>38376.480000000003</v>
      </c>
      <c r="AT16" s="131">
        <f>SUM(AT4:AT15)</f>
        <v>312.95999999999998</v>
      </c>
      <c r="AU16" s="132">
        <f>AU4+AU8+AU12</f>
        <v>361</v>
      </c>
      <c r="AV16" s="133">
        <f>AV4+AV8+AV12</f>
        <v>35702.160000000003</v>
      </c>
      <c r="AW16" s="131">
        <f>SUM(AW4:AW15)</f>
        <v>345.7</v>
      </c>
      <c r="AX16" s="132">
        <f>AX4+AX7</f>
        <v>386</v>
      </c>
      <c r="AY16" s="133">
        <f>AY4+AY7</f>
        <v>40438.92</v>
      </c>
      <c r="AZ16" s="132">
        <f>SUM(AZ4:AZ15)</f>
        <v>434</v>
      </c>
      <c r="BA16" s="132">
        <f>SUM(BA4:BA15)</f>
        <v>48214</v>
      </c>
      <c r="BB16" s="131">
        <f>SUM(BB4:BB15)</f>
        <v>538</v>
      </c>
      <c r="BC16" s="132">
        <f>BC4+BC7</f>
        <v>467</v>
      </c>
      <c r="BD16" s="132">
        <f>BD4+BD7</f>
        <v>44471.01</v>
      </c>
      <c r="BE16" s="131">
        <f>SUM(BE4:BE15)</f>
        <v>341</v>
      </c>
      <c r="BF16" s="132">
        <f>BF4+BF8+BF12</f>
        <v>402</v>
      </c>
      <c r="BG16" s="133">
        <f>BG4+BG8+BG12</f>
        <v>39758.21</v>
      </c>
      <c r="BH16" s="131">
        <f>SUM(BH4:BH15)</f>
        <v>406</v>
      </c>
      <c r="BI16" s="132">
        <f>BI6+BI4</f>
        <v>445</v>
      </c>
      <c r="BJ16" s="133">
        <f>BJ6+BJ4</f>
        <v>46620.479999999996</v>
      </c>
      <c r="BK16" s="395">
        <f>SUM(BK4:BK15)</f>
        <v>533</v>
      </c>
      <c r="BL16" s="395">
        <f>SUM(BL4:BL15)</f>
        <v>60557</v>
      </c>
      <c r="BM16" s="131">
        <f>SUM(BM4:BM15)</f>
        <v>323.5</v>
      </c>
      <c r="BN16" s="132">
        <f>BN4+BN7</f>
        <v>298</v>
      </c>
      <c r="BO16" s="132">
        <f>BO4+BO7</f>
        <v>28377.7</v>
      </c>
      <c r="BP16" s="131">
        <f>SUM(BP4:BP15)</f>
        <v>217.5</v>
      </c>
      <c r="BQ16" s="132">
        <f>BQ4+BQ9</f>
        <v>245</v>
      </c>
      <c r="BR16" s="133">
        <f>BR4+BR9</f>
        <v>15413</v>
      </c>
      <c r="BS16" s="136">
        <f>SUM(BS4:BS15)</f>
        <v>247.4</v>
      </c>
      <c r="BT16" s="132">
        <f>BT4+BT7</f>
        <v>279</v>
      </c>
      <c r="BU16" s="133">
        <f>BU4+BU7</f>
        <v>29230</v>
      </c>
      <c r="BV16" s="363">
        <f>SUM(BV4:BV15)</f>
        <v>362.24950000000001</v>
      </c>
      <c r="BW16" s="364">
        <f>SUM(BW4:BW15)</f>
        <v>15569.42</v>
      </c>
    </row>
    <row r="19" spans="24:26">
      <c r="X19" t="s">
        <v>134</v>
      </c>
    </row>
    <row r="20" spans="24:26">
      <c r="X20">
        <f>3106+395</f>
        <v>3501</v>
      </c>
      <c r="Z20">
        <f>3060+337</f>
        <v>3397</v>
      </c>
    </row>
    <row r="21" spans="24:26">
      <c r="X21">
        <f>X20/3.6</f>
        <v>972.5</v>
      </c>
      <c r="Z21">
        <f>Z20/3.6</f>
        <v>943.61111111111109</v>
      </c>
    </row>
  </sheetData>
  <mergeCells count="104">
    <mergeCell ref="BD7:BD15"/>
    <mergeCell ref="BC7:BC15"/>
    <mergeCell ref="BV7:BV15"/>
    <mergeCell ref="BW7:BW15"/>
    <mergeCell ref="T10:T11"/>
    <mergeCell ref="U10:U11"/>
    <mergeCell ref="AX4:AX6"/>
    <mergeCell ref="AU12:AU15"/>
    <mergeCell ref="AV12:AV15"/>
    <mergeCell ref="AC4:AC15"/>
    <mergeCell ref="AB4:AB15"/>
    <mergeCell ref="AA4:AA15"/>
    <mergeCell ref="Z4:Z15"/>
    <mergeCell ref="X4:X15"/>
    <mergeCell ref="Y4:Y15"/>
    <mergeCell ref="AV8:AV11"/>
    <mergeCell ref="AH12:AH15"/>
    <mergeCell ref="AK4:AK12"/>
    <mergeCell ref="AK13:AK15"/>
    <mergeCell ref="AH10:AH11"/>
    <mergeCell ref="AE4:AE15"/>
    <mergeCell ref="AU8:AU11"/>
    <mergeCell ref="BC4:BC6"/>
    <mergeCell ref="BD4:BD6"/>
    <mergeCell ref="U4:U7"/>
    <mergeCell ref="AD4:AD15"/>
    <mergeCell ref="AZ2:BA2"/>
    <mergeCell ref="BK2:BL2"/>
    <mergeCell ref="X2:Y2"/>
    <mergeCell ref="Z2:AA2"/>
    <mergeCell ref="AB2:AC2"/>
    <mergeCell ref="X1:AE1"/>
    <mergeCell ref="AU4:AU7"/>
    <mergeCell ref="AV4:AV7"/>
    <mergeCell ref="AQ2:AS2"/>
    <mergeCell ref="AT2:AV2"/>
    <mergeCell ref="AW2:AY2"/>
    <mergeCell ref="AF2:AH2"/>
    <mergeCell ref="AI2:AK2"/>
    <mergeCell ref="AL2:AN2"/>
    <mergeCell ref="AZ7:AZ15"/>
    <mergeCell ref="BA7:BA15"/>
    <mergeCell ref="AG10:AG11"/>
    <mergeCell ref="AG12:AG15"/>
    <mergeCell ref="AJ13:AJ15"/>
    <mergeCell ref="AJ4:AJ12"/>
    <mergeCell ref="AG4:AG9"/>
    <mergeCell ref="AH4:AH9"/>
    <mergeCell ref="AD2:AE2"/>
    <mergeCell ref="AO2:AP2"/>
    <mergeCell ref="N10:N14"/>
    <mergeCell ref="O10:O14"/>
    <mergeCell ref="BO7:BO15"/>
    <mergeCell ref="BN7:BN15"/>
    <mergeCell ref="BJ6:BJ15"/>
    <mergeCell ref="BI6:BI15"/>
    <mergeCell ref="BJ4:BJ5"/>
    <mergeCell ref="BI4:BI5"/>
    <mergeCell ref="BF4:BF7"/>
    <mergeCell ref="BG4:BG7"/>
    <mergeCell ref="BF8:BF11"/>
    <mergeCell ref="BG8:BG11"/>
    <mergeCell ref="BF12:BF15"/>
    <mergeCell ref="BG12:BG15"/>
    <mergeCell ref="AY7:AY15"/>
    <mergeCell ref="AY4:AY6"/>
    <mergeCell ref="AS8:AS15"/>
    <mergeCell ref="AR8:AR15"/>
    <mergeCell ref="AR4:AR7"/>
    <mergeCell ref="AS4:AS7"/>
    <mergeCell ref="AX7:AX15"/>
    <mergeCell ref="T4:T7"/>
    <mergeCell ref="BB2:BD2"/>
    <mergeCell ref="BE2:BG2"/>
    <mergeCell ref="BH2:BJ2"/>
    <mergeCell ref="AF1:AP1"/>
    <mergeCell ref="AQ1:BA1"/>
    <mergeCell ref="BB1:BL1"/>
    <mergeCell ref="BM1:BW1"/>
    <mergeCell ref="BV2:BW2"/>
    <mergeCell ref="BM2:BO2"/>
    <mergeCell ref="BP2:BR2"/>
    <mergeCell ref="A1:A3"/>
    <mergeCell ref="M2:O2"/>
    <mergeCell ref="P2:R2"/>
    <mergeCell ref="S2:U2"/>
    <mergeCell ref="B2:D2"/>
    <mergeCell ref="E2:G2"/>
    <mergeCell ref="H2:J2"/>
    <mergeCell ref="V2:W2"/>
    <mergeCell ref="K2:L2"/>
    <mergeCell ref="B1:L1"/>
    <mergeCell ref="M1:W1"/>
    <mergeCell ref="BR9:BR15"/>
    <mergeCell ref="BN4:BN6"/>
    <mergeCell ref="BO4:BO6"/>
    <mergeCell ref="BT4:BT6"/>
    <mergeCell ref="BT7:BT15"/>
    <mergeCell ref="BQ9:BQ15"/>
    <mergeCell ref="BQ4:BQ8"/>
    <mergeCell ref="BR4:BR8"/>
    <mergeCell ref="BS2:BU2"/>
    <mergeCell ref="BU4:BU6"/>
    <mergeCell ref="BU7:BU15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"/>
  <sheetViews>
    <sheetView workbookViewId="0">
      <pane xSplit="1" topLeftCell="B1" activePane="topRight" state="frozen"/>
      <selection pane="topRight" activeCell="L13" sqref="L13"/>
    </sheetView>
  </sheetViews>
  <sheetFormatPr defaultColWidth="8.85546875" defaultRowHeight="15"/>
  <cols>
    <col min="2" max="3" width="9.42578125" bestFit="1" customWidth="1"/>
    <col min="4" max="4" width="10" bestFit="1" customWidth="1"/>
    <col min="5" max="6" width="9.42578125" bestFit="1" customWidth="1"/>
    <col min="7" max="7" width="10" bestFit="1" customWidth="1"/>
    <col min="8" max="9" width="9.42578125" bestFit="1" customWidth="1"/>
    <col min="10" max="10" width="10" bestFit="1" customWidth="1"/>
    <col min="11" max="12" width="10" customWidth="1"/>
    <col min="13" max="13" width="10.85546875" bestFit="1" customWidth="1"/>
    <col min="14" max="14" width="11.85546875" bestFit="1" customWidth="1"/>
    <col min="15" max="15" width="10.85546875" bestFit="1" customWidth="1"/>
    <col min="16" max="16" width="11.85546875" bestFit="1" customWidth="1"/>
    <col min="17" max="17" width="10.85546875" bestFit="1" customWidth="1"/>
    <col min="18" max="18" width="11.85546875" bestFit="1" customWidth="1"/>
    <col min="19" max="20" width="11.85546875" customWidth="1"/>
    <col min="21" max="22" width="9.42578125" bestFit="1" customWidth="1"/>
    <col min="23" max="23" width="10" bestFit="1" customWidth="1"/>
    <col min="24" max="25" width="9.42578125" bestFit="1" customWidth="1"/>
    <col min="26" max="26" width="10" bestFit="1" customWidth="1"/>
    <col min="27" max="28" width="9.42578125" bestFit="1" customWidth="1"/>
    <col min="29" max="29" width="10" bestFit="1" customWidth="1"/>
    <col min="31" max="31" width="9.5703125" bestFit="1" customWidth="1"/>
  </cols>
  <sheetData>
    <row r="1" spans="1:31">
      <c r="A1" s="1255"/>
      <c r="B1" s="1261" t="s">
        <v>48</v>
      </c>
      <c r="C1" s="1262"/>
      <c r="D1" s="1262"/>
      <c r="E1" s="1262"/>
      <c r="F1" s="1262"/>
      <c r="G1" s="1262"/>
      <c r="H1" s="1262"/>
      <c r="I1" s="1262"/>
      <c r="J1" s="1262"/>
      <c r="K1" s="1263"/>
      <c r="L1" s="1264"/>
      <c r="M1" s="1295" t="s">
        <v>53</v>
      </c>
      <c r="N1" s="1296"/>
      <c r="O1" s="1296"/>
      <c r="P1" s="1296"/>
      <c r="Q1" s="1296"/>
      <c r="R1" s="1296"/>
      <c r="S1" s="1297"/>
      <c r="T1" s="1298"/>
      <c r="U1" s="1265" t="s">
        <v>49</v>
      </c>
      <c r="V1" s="1266"/>
      <c r="W1" s="1266"/>
      <c r="X1" s="1266"/>
      <c r="Y1" s="1266"/>
      <c r="Z1" s="1266"/>
      <c r="AA1" s="1266"/>
      <c r="AB1" s="1266"/>
      <c r="AC1" s="1266"/>
      <c r="AD1" s="1267"/>
      <c r="AE1" s="1268"/>
    </row>
    <row r="2" spans="1:31">
      <c r="A2" s="1255"/>
      <c r="B2" s="1319">
        <v>2019</v>
      </c>
      <c r="C2" s="1320"/>
      <c r="D2" s="1320"/>
      <c r="E2" s="1319">
        <v>2020</v>
      </c>
      <c r="F2" s="1320"/>
      <c r="G2" s="1321"/>
      <c r="H2" s="1322">
        <v>2021</v>
      </c>
      <c r="I2" s="1320"/>
      <c r="J2" s="1321"/>
      <c r="K2" s="1319">
        <v>2022</v>
      </c>
      <c r="L2" s="1272"/>
      <c r="M2" s="1271">
        <v>2019</v>
      </c>
      <c r="N2" s="1292"/>
      <c r="O2" s="1271">
        <v>2020</v>
      </c>
      <c r="P2" s="1293"/>
      <c r="Q2" s="1294">
        <v>2021</v>
      </c>
      <c r="R2" s="1293"/>
      <c r="S2" s="1271">
        <v>2022</v>
      </c>
      <c r="T2" s="1272"/>
      <c r="U2" s="1252">
        <v>2019</v>
      </c>
      <c r="V2" s="1253"/>
      <c r="W2" s="1253"/>
      <c r="X2" s="1252">
        <v>2020</v>
      </c>
      <c r="Y2" s="1253"/>
      <c r="Z2" s="1254"/>
      <c r="AA2" s="1252">
        <v>2021</v>
      </c>
      <c r="AB2" s="1253"/>
      <c r="AC2" s="1253"/>
      <c r="AD2" s="1269">
        <v>2022</v>
      </c>
      <c r="AE2" s="1272"/>
    </row>
    <row r="3" spans="1:31" ht="30">
      <c r="A3" s="1255"/>
      <c r="B3" s="1" t="s">
        <v>1</v>
      </c>
      <c r="C3" s="2" t="s">
        <v>2</v>
      </c>
      <c r="D3" s="2" t="s">
        <v>3</v>
      </c>
      <c r="E3" s="1" t="s">
        <v>1</v>
      </c>
      <c r="F3" s="2" t="s">
        <v>2</v>
      </c>
      <c r="G3" s="3" t="s">
        <v>3</v>
      </c>
      <c r="H3" s="2" t="s">
        <v>1</v>
      </c>
      <c r="I3" s="2" t="s">
        <v>2</v>
      </c>
      <c r="J3" s="3" t="s">
        <v>3</v>
      </c>
      <c r="K3" s="2" t="s">
        <v>1</v>
      </c>
      <c r="L3" s="2" t="s">
        <v>3</v>
      </c>
      <c r="M3" s="1" t="s">
        <v>2</v>
      </c>
      <c r="N3" s="2" t="s">
        <v>3</v>
      </c>
      <c r="O3" s="1" t="s">
        <v>2</v>
      </c>
      <c r="P3" s="3" t="s">
        <v>3</v>
      </c>
      <c r="Q3" s="2" t="s">
        <v>2</v>
      </c>
      <c r="R3" s="3" t="s">
        <v>3</v>
      </c>
      <c r="S3" s="2" t="s">
        <v>1</v>
      </c>
      <c r="T3" s="2" t="s">
        <v>3</v>
      </c>
      <c r="U3" s="7" t="s">
        <v>6</v>
      </c>
      <c r="V3" s="8" t="s">
        <v>7</v>
      </c>
      <c r="W3" s="8" t="s">
        <v>3</v>
      </c>
      <c r="X3" s="7" t="s">
        <v>6</v>
      </c>
      <c r="Y3" s="8" t="s">
        <v>7</v>
      </c>
      <c r="Z3" s="9" t="s">
        <v>3</v>
      </c>
      <c r="AA3" s="7" t="s">
        <v>6</v>
      </c>
      <c r="AB3" s="8" t="s">
        <v>7</v>
      </c>
      <c r="AC3" s="562" t="s">
        <v>3</v>
      </c>
      <c r="AD3" s="367" t="s">
        <v>6</v>
      </c>
      <c r="AE3" s="368" t="s">
        <v>3</v>
      </c>
    </row>
    <row r="4" spans="1:31">
      <c r="A4" s="14" t="s">
        <v>35</v>
      </c>
      <c r="B4" s="116">
        <v>11054</v>
      </c>
      <c r="C4" s="116">
        <v>12256</v>
      </c>
      <c r="D4" s="116">
        <v>58340</v>
      </c>
      <c r="E4" s="115">
        <v>7100</v>
      </c>
      <c r="F4" s="116">
        <v>7321</v>
      </c>
      <c r="G4" s="117">
        <v>36395</v>
      </c>
      <c r="H4" s="116">
        <v>4638</v>
      </c>
      <c r="I4" s="116">
        <v>4962</v>
      </c>
      <c r="J4" s="117">
        <v>28578</v>
      </c>
      <c r="K4" s="116">
        <v>6941</v>
      </c>
      <c r="L4" s="116">
        <v>39983.58</v>
      </c>
      <c r="M4" s="1288">
        <v>869806.25</v>
      </c>
      <c r="N4" s="1286">
        <v>1985804.71</v>
      </c>
      <c r="O4" s="1288">
        <v>648861.63</v>
      </c>
      <c r="P4" s="1286">
        <v>1414632.71</v>
      </c>
      <c r="Q4" s="1288">
        <v>712500.57</v>
      </c>
      <c r="R4" s="1286">
        <v>1516110.16</v>
      </c>
      <c r="S4" s="1288">
        <v>826352</v>
      </c>
      <c r="T4" s="1286">
        <v>2185251.21</v>
      </c>
      <c r="U4" s="118">
        <v>133</v>
      </c>
      <c r="V4" s="370">
        <v>104</v>
      </c>
      <c r="W4" s="370">
        <v>10353</v>
      </c>
      <c r="X4" s="118">
        <v>307</v>
      </c>
      <c r="Y4" s="184">
        <v>361</v>
      </c>
      <c r="Z4" s="184">
        <v>36953.56</v>
      </c>
      <c r="AA4" s="118">
        <v>93</v>
      </c>
      <c r="AB4" s="184">
        <v>112</v>
      </c>
      <c r="AC4" s="184">
        <v>11528.36</v>
      </c>
      <c r="AD4" s="384">
        <v>199</v>
      </c>
      <c r="AE4" s="385">
        <v>22032.14</v>
      </c>
    </row>
    <row r="5" spans="1:31">
      <c r="A5" s="15" t="s">
        <v>36</v>
      </c>
      <c r="B5" s="121">
        <v>9869</v>
      </c>
      <c r="C5" s="121">
        <v>8517</v>
      </c>
      <c r="D5" s="121">
        <v>41447</v>
      </c>
      <c r="E5" s="120">
        <v>5770</v>
      </c>
      <c r="F5" s="121">
        <v>5839</v>
      </c>
      <c r="G5" s="122">
        <v>29646</v>
      </c>
      <c r="H5" s="121">
        <v>4448</v>
      </c>
      <c r="I5" s="121">
        <v>4668</v>
      </c>
      <c r="J5" s="122">
        <v>27084</v>
      </c>
      <c r="K5" s="121">
        <v>6222</v>
      </c>
      <c r="L5" s="121">
        <v>36284.120000000003</v>
      </c>
      <c r="M5" s="1313"/>
      <c r="N5" s="1275"/>
      <c r="O5" s="1313"/>
      <c r="P5" s="1275"/>
      <c r="Q5" s="1313"/>
      <c r="R5" s="1275"/>
      <c r="S5" s="1289"/>
      <c r="T5" s="1317"/>
      <c r="U5" s="123">
        <v>121</v>
      </c>
      <c r="V5" s="371">
        <v>160</v>
      </c>
      <c r="W5" s="371">
        <v>15928</v>
      </c>
      <c r="X5" s="123">
        <v>403</v>
      </c>
      <c r="Y5" s="184">
        <v>411</v>
      </c>
      <c r="Z5" s="184">
        <v>42495.96</v>
      </c>
      <c r="AA5" s="123">
        <v>141</v>
      </c>
      <c r="AB5" s="184">
        <v>139</v>
      </c>
      <c r="AC5" s="184">
        <v>14562.2</v>
      </c>
      <c r="AD5" s="384">
        <v>128</v>
      </c>
      <c r="AE5" s="385">
        <v>14393.98</v>
      </c>
    </row>
    <row r="6" spans="1:31">
      <c r="A6" s="15" t="s">
        <v>37</v>
      </c>
      <c r="B6" s="121">
        <v>10901</v>
      </c>
      <c r="C6" s="121">
        <v>10824</v>
      </c>
      <c r="D6" s="121">
        <v>51870</v>
      </c>
      <c r="E6" s="120">
        <v>3561</v>
      </c>
      <c r="F6" s="121">
        <v>3550</v>
      </c>
      <c r="G6" s="122">
        <v>19222</v>
      </c>
      <c r="H6" s="121">
        <v>3573</v>
      </c>
      <c r="I6" s="121">
        <v>3350</v>
      </c>
      <c r="J6" s="122">
        <v>20386</v>
      </c>
      <c r="K6" s="121">
        <v>5863</v>
      </c>
      <c r="L6" s="121">
        <v>34436.99</v>
      </c>
      <c r="M6" s="1313"/>
      <c r="N6" s="1275"/>
      <c r="O6" s="1313"/>
      <c r="P6" s="1275"/>
      <c r="Q6" s="1313"/>
      <c r="R6" s="1275"/>
      <c r="S6" s="1289"/>
      <c r="T6" s="1317"/>
      <c r="U6" s="123">
        <v>167</v>
      </c>
      <c r="V6" s="371">
        <v>144</v>
      </c>
      <c r="W6" s="371">
        <v>14335</v>
      </c>
      <c r="X6" s="123">
        <v>518</v>
      </c>
      <c r="Y6" s="184">
        <v>527</v>
      </c>
      <c r="Z6" s="184">
        <v>54489.95</v>
      </c>
      <c r="AA6" s="123">
        <v>82</v>
      </c>
      <c r="AB6" s="184">
        <v>83</v>
      </c>
      <c r="AC6" s="184">
        <v>8695.41</v>
      </c>
      <c r="AD6" s="384">
        <v>140</v>
      </c>
      <c r="AE6" s="385">
        <v>15743.42</v>
      </c>
    </row>
    <row r="7" spans="1:31">
      <c r="A7" s="15" t="s">
        <v>38</v>
      </c>
      <c r="B7" s="121">
        <v>9173</v>
      </c>
      <c r="C7" s="121">
        <v>9234</v>
      </c>
      <c r="D7" s="121">
        <v>44687</v>
      </c>
      <c r="E7" s="120">
        <v>1617</v>
      </c>
      <c r="F7" s="121">
        <v>1638</v>
      </c>
      <c r="G7" s="122">
        <v>10515</v>
      </c>
      <c r="H7" s="121">
        <v>3897</v>
      </c>
      <c r="I7" s="121">
        <v>3906</v>
      </c>
      <c r="J7" s="122">
        <v>23212</v>
      </c>
      <c r="K7" s="121">
        <v>5748</v>
      </c>
      <c r="L7" s="121">
        <v>33845.269999999997</v>
      </c>
      <c r="M7" s="1313"/>
      <c r="N7" s="1275"/>
      <c r="O7" s="1313"/>
      <c r="P7" s="1275"/>
      <c r="Q7" s="1313"/>
      <c r="R7" s="1275"/>
      <c r="S7" s="1289"/>
      <c r="T7" s="1317"/>
      <c r="U7" s="123">
        <v>143</v>
      </c>
      <c r="V7" s="1323">
        <v>165</v>
      </c>
      <c r="W7" s="1324">
        <v>16426</v>
      </c>
      <c r="X7" s="123">
        <v>40</v>
      </c>
      <c r="Y7" s="184">
        <v>37</v>
      </c>
      <c r="Z7" s="184">
        <v>3825.67</v>
      </c>
      <c r="AA7" s="123">
        <v>90</v>
      </c>
      <c r="AB7" s="184">
        <v>83</v>
      </c>
      <c r="AC7" s="184">
        <v>8695.41</v>
      </c>
      <c r="AD7" s="384">
        <v>176</v>
      </c>
      <c r="AE7" s="385">
        <v>19791.73</v>
      </c>
    </row>
    <row r="8" spans="1:31">
      <c r="A8" s="15" t="s">
        <v>39</v>
      </c>
      <c r="B8" s="121">
        <v>9911</v>
      </c>
      <c r="C8" s="121">
        <v>9919</v>
      </c>
      <c r="D8" s="121">
        <v>47782</v>
      </c>
      <c r="E8" s="120">
        <v>2094</v>
      </c>
      <c r="F8" s="121">
        <v>2218</v>
      </c>
      <c r="G8" s="122">
        <v>13156</v>
      </c>
      <c r="H8" s="121">
        <v>5276</v>
      </c>
      <c r="I8" s="121">
        <v>5329</v>
      </c>
      <c r="J8" s="122">
        <v>30443</v>
      </c>
      <c r="K8" s="121">
        <v>6295</v>
      </c>
      <c r="L8" s="121">
        <v>36659.75</v>
      </c>
      <c r="M8" s="1313"/>
      <c r="N8" s="1275"/>
      <c r="O8" s="1313"/>
      <c r="P8" s="1275"/>
      <c r="Q8" s="1313"/>
      <c r="R8" s="1275"/>
      <c r="S8" s="1289"/>
      <c r="T8" s="1317"/>
      <c r="U8" s="123">
        <v>160</v>
      </c>
      <c r="V8" s="1323"/>
      <c r="W8" s="1324"/>
      <c r="X8" s="123">
        <v>64</v>
      </c>
      <c r="Y8" s="184">
        <v>53</v>
      </c>
      <c r="Z8" s="184">
        <v>5241.75</v>
      </c>
      <c r="AA8" s="123">
        <v>177</v>
      </c>
      <c r="AB8" s="184">
        <v>166</v>
      </c>
      <c r="AC8" s="184">
        <v>17390.82</v>
      </c>
      <c r="AD8" s="384">
        <v>149</v>
      </c>
      <c r="AE8" s="385">
        <v>16755.5</v>
      </c>
    </row>
    <row r="9" spans="1:31">
      <c r="A9" s="15" t="s">
        <v>40</v>
      </c>
      <c r="B9" s="121">
        <v>6924</v>
      </c>
      <c r="C9" s="121">
        <v>6721</v>
      </c>
      <c r="D9" s="121">
        <v>33333</v>
      </c>
      <c r="E9" s="120">
        <v>3600</v>
      </c>
      <c r="F9" s="121">
        <v>3519</v>
      </c>
      <c r="G9" s="122">
        <v>19081</v>
      </c>
      <c r="H9" s="121">
        <v>5356</v>
      </c>
      <c r="I9" s="121">
        <v>5340</v>
      </c>
      <c r="J9" s="122">
        <v>30499</v>
      </c>
      <c r="K9" s="121">
        <v>5619</v>
      </c>
      <c r="L9" s="121">
        <v>33181.56</v>
      </c>
      <c r="M9" s="1313"/>
      <c r="N9" s="1275"/>
      <c r="O9" s="1313"/>
      <c r="P9" s="1275"/>
      <c r="Q9" s="1313"/>
      <c r="R9" s="1275"/>
      <c r="S9" s="1289"/>
      <c r="T9" s="1317"/>
      <c r="U9" s="123">
        <v>132</v>
      </c>
      <c r="V9" s="184">
        <v>127</v>
      </c>
      <c r="W9" s="184">
        <v>12643</v>
      </c>
      <c r="X9" s="123">
        <v>166</v>
      </c>
      <c r="Y9" s="184">
        <v>179</v>
      </c>
      <c r="Z9" s="184">
        <v>17703.28</v>
      </c>
      <c r="AA9" s="123">
        <v>197</v>
      </c>
      <c r="AB9" s="184">
        <v>209</v>
      </c>
      <c r="AC9" s="184">
        <v>21895.68</v>
      </c>
      <c r="AD9" s="384">
        <v>134</v>
      </c>
      <c r="AE9" s="385">
        <v>15068.7</v>
      </c>
    </row>
    <row r="10" spans="1:31">
      <c r="A10" s="15" t="s">
        <v>41</v>
      </c>
      <c r="B10" s="121">
        <v>2625</v>
      </c>
      <c r="C10" s="121">
        <v>2615</v>
      </c>
      <c r="D10" s="121">
        <v>14782</v>
      </c>
      <c r="E10" s="120">
        <v>1664</v>
      </c>
      <c r="F10" s="121">
        <v>1645</v>
      </c>
      <c r="G10" s="122">
        <v>10547</v>
      </c>
      <c r="H10" s="121">
        <v>2829</v>
      </c>
      <c r="I10" s="121">
        <v>2811</v>
      </c>
      <c r="J10" s="122">
        <v>17647</v>
      </c>
      <c r="K10" s="121">
        <v>1425</v>
      </c>
      <c r="L10" s="121">
        <v>11602.34</v>
      </c>
      <c r="M10" s="1313"/>
      <c r="N10" s="1275"/>
      <c r="O10" s="1313"/>
      <c r="P10" s="1275"/>
      <c r="Q10" s="1313"/>
      <c r="R10" s="1275"/>
      <c r="S10" s="1289"/>
      <c r="T10" s="1317"/>
      <c r="U10" s="123">
        <v>51</v>
      </c>
      <c r="V10" s="184">
        <v>55</v>
      </c>
      <c r="W10" s="184">
        <v>5475</v>
      </c>
      <c r="X10" s="123">
        <v>56</v>
      </c>
      <c r="Y10" s="184">
        <v>56</v>
      </c>
      <c r="Z10" s="184">
        <v>5538.6</v>
      </c>
      <c r="AA10" s="123">
        <v>52</v>
      </c>
      <c r="AB10" s="184">
        <v>59</v>
      </c>
      <c r="AC10" s="184">
        <v>6181.08</v>
      </c>
      <c r="AD10" s="384">
        <v>27</v>
      </c>
      <c r="AE10" s="385">
        <v>3036.23</v>
      </c>
    </row>
    <row r="11" spans="1:31">
      <c r="A11" s="15" t="s">
        <v>42</v>
      </c>
      <c r="B11" s="121">
        <v>3109</v>
      </c>
      <c r="C11" s="121">
        <v>2994</v>
      </c>
      <c r="D11" s="121">
        <v>16494</v>
      </c>
      <c r="E11" s="120">
        <v>1955</v>
      </c>
      <c r="F11" s="121">
        <v>1882</v>
      </c>
      <c r="G11" s="122">
        <v>11626</v>
      </c>
      <c r="H11" s="121">
        <v>2165</v>
      </c>
      <c r="I11" s="121">
        <v>2071</v>
      </c>
      <c r="J11" s="122">
        <v>13887</v>
      </c>
      <c r="K11" s="121">
        <v>1640</v>
      </c>
      <c r="L11" s="121">
        <v>12708.56</v>
      </c>
      <c r="M11" s="1313"/>
      <c r="N11" s="1275"/>
      <c r="O11" s="1313"/>
      <c r="P11" s="1275"/>
      <c r="Q11" s="1313"/>
      <c r="R11" s="1275"/>
      <c r="S11" s="1289"/>
      <c r="T11" s="1317"/>
      <c r="U11" s="123">
        <v>61</v>
      </c>
      <c r="V11" s="184">
        <v>52</v>
      </c>
      <c r="W11" s="184">
        <v>5176</v>
      </c>
      <c r="X11" s="123">
        <v>90</v>
      </c>
      <c r="Y11" s="184">
        <v>75</v>
      </c>
      <c r="Z11" s="184">
        <v>7417.58</v>
      </c>
      <c r="AA11" s="123">
        <v>46</v>
      </c>
      <c r="AB11" s="184">
        <v>43</v>
      </c>
      <c r="AC11" s="184">
        <v>4504.8500000000004</v>
      </c>
      <c r="AD11" s="384">
        <v>30</v>
      </c>
      <c r="AE11" s="385">
        <v>3373.59</v>
      </c>
    </row>
    <row r="12" spans="1:31">
      <c r="A12" s="15" t="s">
        <v>43</v>
      </c>
      <c r="B12" s="121">
        <v>6156</v>
      </c>
      <c r="C12" s="121">
        <v>6305</v>
      </c>
      <c r="D12" s="121">
        <v>31453</v>
      </c>
      <c r="E12" s="120">
        <v>5533</v>
      </c>
      <c r="F12" s="121">
        <v>5675</v>
      </c>
      <c r="G12" s="122">
        <v>28899</v>
      </c>
      <c r="H12" s="121">
        <v>5987</v>
      </c>
      <c r="I12" s="121">
        <v>6156</v>
      </c>
      <c r="J12" s="122">
        <v>34645</v>
      </c>
      <c r="K12" s="121">
        <v>6109</v>
      </c>
      <c r="L12" s="121">
        <v>35702.720000000001</v>
      </c>
      <c r="M12" s="1313"/>
      <c r="N12" s="1275"/>
      <c r="O12" s="1313"/>
      <c r="P12" s="1275"/>
      <c r="Q12" s="1313"/>
      <c r="R12" s="1275"/>
      <c r="S12" s="1289"/>
      <c r="T12" s="1317"/>
      <c r="U12" s="123">
        <v>158</v>
      </c>
      <c r="V12" s="184">
        <v>155</v>
      </c>
      <c r="W12" s="184">
        <v>15431</v>
      </c>
      <c r="X12" s="123">
        <v>166</v>
      </c>
      <c r="Y12" s="184">
        <v>176</v>
      </c>
      <c r="Z12" s="184">
        <v>17406.580000000002</v>
      </c>
      <c r="AA12" s="123">
        <v>175</v>
      </c>
      <c r="AB12" s="184">
        <v>173</v>
      </c>
      <c r="AC12" s="184">
        <v>18124.169999999998</v>
      </c>
      <c r="AD12" s="384">
        <v>161</v>
      </c>
      <c r="AE12" s="385">
        <v>18104.93</v>
      </c>
    </row>
    <row r="13" spans="1:31">
      <c r="A13" s="15" t="s">
        <v>44</v>
      </c>
      <c r="B13" s="121">
        <v>6943</v>
      </c>
      <c r="C13" s="121">
        <v>6983</v>
      </c>
      <c r="D13" s="121">
        <v>34517</v>
      </c>
      <c r="E13" s="120">
        <v>5258</v>
      </c>
      <c r="F13" s="121">
        <v>4954</v>
      </c>
      <c r="G13" s="122">
        <v>25616</v>
      </c>
      <c r="H13" s="121">
        <v>6962</v>
      </c>
      <c r="I13" s="121">
        <v>6652</v>
      </c>
      <c r="J13" s="122">
        <v>37166</v>
      </c>
      <c r="K13" s="121">
        <v>5581</v>
      </c>
      <c r="L13" s="1168">
        <v>29643.27</v>
      </c>
      <c r="M13" s="1313"/>
      <c r="N13" s="1275"/>
      <c r="O13" s="1313"/>
      <c r="P13" s="1275"/>
      <c r="Q13" s="1313"/>
      <c r="R13" s="1275"/>
      <c r="S13" s="1289"/>
      <c r="T13" s="1317"/>
      <c r="U13" s="123">
        <v>178</v>
      </c>
      <c r="V13" s="184">
        <v>186</v>
      </c>
      <c r="W13" s="184">
        <v>18517.32</v>
      </c>
      <c r="X13" s="123">
        <v>159</v>
      </c>
      <c r="Y13" s="184">
        <v>162</v>
      </c>
      <c r="Z13" s="184">
        <v>16021.96</v>
      </c>
      <c r="AA13" s="123">
        <v>153</v>
      </c>
      <c r="AB13" s="184">
        <v>179</v>
      </c>
      <c r="AC13" s="184">
        <v>18752.759999999998</v>
      </c>
      <c r="AD13" s="384">
        <v>133</v>
      </c>
      <c r="AE13" s="385">
        <v>14956.25</v>
      </c>
    </row>
    <row r="14" spans="1:31">
      <c r="A14" s="15" t="s">
        <v>45</v>
      </c>
      <c r="B14" s="121">
        <v>7745</v>
      </c>
      <c r="C14" s="121">
        <v>7814</v>
      </c>
      <c r="D14" s="121">
        <v>38271</v>
      </c>
      <c r="E14" s="120">
        <v>4436</v>
      </c>
      <c r="F14" s="121">
        <v>4777</v>
      </c>
      <c r="G14" s="122">
        <v>24810</v>
      </c>
      <c r="H14" s="121">
        <v>7730</v>
      </c>
      <c r="I14" s="121">
        <v>8155</v>
      </c>
      <c r="J14" s="122">
        <v>37028</v>
      </c>
      <c r="K14" s="121">
        <v>6858</v>
      </c>
      <c r="L14" s="121">
        <v>35448.910000000003</v>
      </c>
      <c r="M14" s="1313"/>
      <c r="N14" s="1275"/>
      <c r="O14" s="1313"/>
      <c r="P14" s="1275"/>
      <c r="Q14" s="1313"/>
      <c r="R14" s="1275"/>
      <c r="S14" s="1289"/>
      <c r="T14" s="1317"/>
      <c r="U14" s="123">
        <v>174</v>
      </c>
      <c r="V14" s="184">
        <v>175</v>
      </c>
      <c r="W14" s="184">
        <v>17422.21</v>
      </c>
      <c r="X14" s="123">
        <v>96</v>
      </c>
      <c r="Y14" s="184">
        <v>86</v>
      </c>
      <c r="Z14" s="184">
        <v>8505.49</v>
      </c>
      <c r="AA14" s="123">
        <v>157</v>
      </c>
      <c r="AB14" s="184">
        <v>124</v>
      </c>
      <c r="AC14" s="184">
        <v>12990.74</v>
      </c>
      <c r="AD14" s="384">
        <v>164</v>
      </c>
      <c r="AE14" s="385">
        <v>18442.29</v>
      </c>
    </row>
    <row r="15" spans="1:31">
      <c r="A15" s="16" t="s">
        <v>46</v>
      </c>
      <c r="B15" s="121">
        <v>6291</v>
      </c>
      <c r="C15" s="121">
        <v>5870</v>
      </c>
      <c r="D15" s="121">
        <v>29488</v>
      </c>
      <c r="E15" s="120">
        <v>5732</v>
      </c>
      <c r="F15" s="121">
        <v>5304</v>
      </c>
      <c r="G15" s="122">
        <v>27210</v>
      </c>
      <c r="H15" s="121">
        <v>6454</v>
      </c>
      <c r="I15" s="121">
        <v>5943</v>
      </c>
      <c r="J15" s="122">
        <v>27738</v>
      </c>
      <c r="K15" s="121">
        <v>5736</v>
      </c>
      <c r="L15" s="121">
        <v>30347.96</v>
      </c>
      <c r="M15" s="1314"/>
      <c r="N15" s="1312"/>
      <c r="O15" s="1314"/>
      <c r="P15" s="1312"/>
      <c r="Q15" s="1314"/>
      <c r="R15" s="1312"/>
      <c r="S15" s="1290"/>
      <c r="T15" s="1318"/>
      <c r="U15" s="123">
        <v>213</v>
      </c>
      <c r="V15" s="184">
        <v>144</v>
      </c>
      <c r="W15" s="184">
        <v>14335.99</v>
      </c>
      <c r="X15" s="123">
        <v>182</v>
      </c>
      <c r="Y15" s="184">
        <v>175</v>
      </c>
      <c r="Z15" s="184">
        <v>17307.68</v>
      </c>
      <c r="AA15" s="123">
        <v>217</v>
      </c>
      <c r="AB15" s="184">
        <v>156</v>
      </c>
      <c r="AC15" s="184">
        <v>16343.18</v>
      </c>
      <c r="AD15" s="386">
        <v>169</v>
      </c>
      <c r="AE15" s="587">
        <v>19004.560000000001</v>
      </c>
    </row>
    <row r="16" spans="1:31">
      <c r="A16" s="13" t="s">
        <v>4</v>
      </c>
      <c r="B16" s="129">
        <f>SUM(B4:B15)</f>
        <v>90701</v>
      </c>
      <c r="C16" s="128">
        <f t="shared" ref="C16:AC16" si="0">SUM(C4:C15)</f>
        <v>90052</v>
      </c>
      <c r="D16" s="130">
        <f t="shared" si="0"/>
        <v>442464</v>
      </c>
      <c r="E16" s="129">
        <f t="shared" si="0"/>
        <v>48320</v>
      </c>
      <c r="F16" s="128">
        <f t="shared" si="0"/>
        <v>48322</v>
      </c>
      <c r="G16" s="130">
        <f t="shared" si="0"/>
        <v>256723</v>
      </c>
      <c r="H16" s="129">
        <f t="shared" si="0"/>
        <v>59315</v>
      </c>
      <c r="I16" s="128">
        <f t="shared" si="0"/>
        <v>59343</v>
      </c>
      <c r="J16" s="128">
        <f t="shared" si="0"/>
        <v>328313</v>
      </c>
      <c r="K16" s="129">
        <f t="shared" si="0"/>
        <v>64037</v>
      </c>
      <c r="L16" s="130">
        <f t="shared" si="0"/>
        <v>369845.03000000009</v>
      </c>
      <c r="M16" s="128">
        <f t="shared" si="0"/>
        <v>869806.25</v>
      </c>
      <c r="N16" s="128">
        <f t="shared" si="0"/>
        <v>1985804.71</v>
      </c>
      <c r="O16" s="129">
        <f t="shared" si="0"/>
        <v>648861.63</v>
      </c>
      <c r="P16" s="130">
        <f t="shared" si="0"/>
        <v>1414632.71</v>
      </c>
      <c r="Q16" s="128">
        <f t="shared" si="0"/>
        <v>712500.57</v>
      </c>
      <c r="R16" s="130">
        <f t="shared" si="0"/>
        <v>1516110.16</v>
      </c>
      <c r="S16" s="128">
        <f>SUM(S4:S15)</f>
        <v>826352</v>
      </c>
      <c r="T16" s="128">
        <f>SUM(T4:T15)</f>
        <v>2185251.21</v>
      </c>
      <c r="U16" s="129">
        <f t="shared" si="0"/>
        <v>1691</v>
      </c>
      <c r="V16" s="128">
        <f t="shared" si="0"/>
        <v>1467</v>
      </c>
      <c r="W16" s="130">
        <f t="shared" si="0"/>
        <v>146042.51999999999</v>
      </c>
      <c r="X16" s="129">
        <f t="shared" si="0"/>
        <v>2247</v>
      </c>
      <c r="Y16" s="128">
        <f t="shared" si="0"/>
        <v>2298</v>
      </c>
      <c r="Z16" s="130">
        <f t="shared" si="0"/>
        <v>232908.05999999997</v>
      </c>
      <c r="AA16" s="129">
        <f t="shared" si="0"/>
        <v>1580</v>
      </c>
      <c r="AB16" s="128">
        <f t="shared" si="0"/>
        <v>1526</v>
      </c>
      <c r="AC16" s="128">
        <f t="shared" si="0"/>
        <v>159664.66</v>
      </c>
      <c r="AD16" s="363">
        <f>SUM(AD4:AD15)</f>
        <v>1610</v>
      </c>
      <c r="AE16" s="364">
        <f>SUM(AE4:AE15)</f>
        <v>180703.31999999998</v>
      </c>
    </row>
  </sheetData>
  <mergeCells count="26">
    <mergeCell ref="S4:S15"/>
    <mergeCell ref="T4:T15"/>
    <mergeCell ref="V7:V8"/>
    <mergeCell ref="W7:W8"/>
    <mergeCell ref="AD2:AE2"/>
    <mergeCell ref="S2:T2"/>
    <mergeCell ref="U1:AE1"/>
    <mergeCell ref="U2:W2"/>
    <mergeCell ref="X2:Z2"/>
    <mergeCell ref="AA2:AC2"/>
    <mergeCell ref="O2:P2"/>
    <mergeCell ref="Q2:R2"/>
    <mergeCell ref="A1:A3"/>
    <mergeCell ref="B2:D2"/>
    <mergeCell ref="E2:G2"/>
    <mergeCell ref="H2:J2"/>
    <mergeCell ref="M2:N2"/>
    <mergeCell ref="K2:L2"/>
    <mergeCell ref="B1:L1"/>
    <mergeCell ref="M1:T1"/>
    <mergeCell ref="N4:N15"/>
    <mergeCell ref="P4:P15"/>
    <mergeCell ref="R4:R15"/>
    <mergeCell ref="M4:M15"/>
    <mergeCell ref="O4:O15"/>
    <mergeCell ref="Q4:Q15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6"/>
  <sheetViews>
    <sheetView workbookViewId="0">
      <pane xSplit="1" topLeftCell="B1" activePane="topRight" state="frozen"/>
      <selection pane="topRight" activeCell="M4" sqref="M4:N15"/>
    </sheetView>
  </sheetViews>
  <sheetFormatPr defaultColWidth="8.85546875" defaultRowHeight="15"/>
  <cols>
    <col min="2" max="3" width="9.42578125" bestFit="1" customWidth="1"/>
    <col min="4" max="4" width="10" bestFit="1" customWidth="1"/>
    <col min="5" max="6" width="9.42578125" bestFit="1" customWidth="1"/>
    <col min="7" max="7" width="10" bestFit="1" customWidth="1"/>
    <col min="8" max="9" width="9.42578125" bestFit="1" customWidth="1"/>
    <col min="10" max="10" width="10" bestFit="1" customWidth="1"/>
    <col min="11" max="11" width="9.42578125" customWidth="1"/>
    <col min="12" max="12" width="10" bestFit="1" customWidth="1"/>
    <col min="13" max="13" width="10.85546875" bestFit="1" customWidth="1"/>
    <col min="14" max="14" width="11.85546875" bestFit="1" customWidth="1"/>
    <col min="15" max="15" width="10.85546875" bestFit="1" customWidth="1"/>
    <col min="16" max="16" width="11.85546875" bestFit="1" customWidth="1"/>
    <col min="17" max="17" width="10.85546875" bestFit="1" customWidth="1"/>
    <col min="18" max="18" width="11.85546875" bestFit="1" customWidth="1"/>
    <col min="19" max="20" width="11.85546875" customWidth="1"/>
    <col min="21" max="31" width="11.42578125" customWidth="1"/>
    <col min="32" max="33" width="9.42578125" bestFit="1" customWidth="1"/>
    <col min="34" max="34" width="10" bestFit="1" customWidth="1"/>
    <col min="35" max="36" width="9.42578125" bestFit="1" customWidth="1"/>
    <col min="37" max="37" width="10" bestFit="1" customWidth="1"/>
    <col min="38" max="39" width="9.42578125" bestFit="1" customWidth="1"/>
    <col min="40" max="40" width="10" bestFit="1" customWidth="1"/>
    <col min="41" max="41" width="9" bestFit="1" customWidth="1"/>
    <col min="42" max="42" width="9.5703125" bestFit="1" customWidth="1"/>
  </cols>
  <sheetData>
    <row r="1" spans="1:42">
      <c r="A1" s="1255"/>
      <c r="B1" s="1345" t="s">
        <v>48</v>
      </c>
      <c r="C1" s="1346"/>
      <c r="D1" s="1346"/>
      <c r="E1" s="1346"/>
      <c r="F1" s="1346"/>
      <c r="G1" s="1346"/>
      <c r="H1" s="1346"/>
      <c r="I1" s="1346"/>
      <c r="J1" s="1347"/>
      <c r="K1" s="330"/>
      <c r="L1" s="330"/>
      <c r="M1" s="1295" t="s">
        <v>53</v>
      </c>
      <c r="N1" s="1296"/>
      <c r="O1" s="1296"/>
      <c r="P1" s="1296"/>
      <c r="Q1" s="1296"/>
      <c r="R1" s="1296"/>
      <c r="S1" s="1297"/>
      <c r="T1" s="1298"/>
      <c r="U1" s="1342" t="s">
        <v>55</v>
      </c>
      <c r="V1" s="1343"/>
      <c r="W1" s="1343"/>
      <c r="X1" s="1343"/>
      <c r="Y1" s="1343"/>
      <c r="Z1" s="1343"/>
      <c r="AA1" s="1343"/>
      <c r="AB1" s="1343"/>
      <c r="AC1" s="1344"/>
      <c r="AD1" s="331"/>
      <c r="AE1" s="331"/>
      <c r="AF1" s="1265" t="s">
        <v>63</v>
      </c>
      <c r="AG1" s="1266"/>
      <c r="AH1" s="1266"/>
      <c r="AI1" s="1266"/>
      <c r="AJ1" s="1266"/>
      <c r="AK1" s="1266"/>
      <c r="AL1" s="1266"/>
      <c r="AM1" s="1266"/>
      <c r="AN1" s="1266"/>
      <c r="AO1" s="1267"/>
      <c r="AP1" s="1268"/>
    </row>
    <row r="2" spans="1:42">
      <c r="A2" s="1255"/>
      <c r="B2" s="1319">
        <v>2019</v>
      </c>
      <c r="C2" s="1320"/>
      <c r="D2" s="1320"/>
      <c r="E2" s="1319">
        <v>2020</v>
      </c>
      <c r="F2" s="1320"/>
      <c r="G2" s="1321"/>
      <c r="H2" s="1322">
        <v>2021</v>
      </c>
      <c r="I2" s="1320"/>
      <c r="J2" s="1321"/>
      <c r="K2" s="1319">
        <v>2022</v>
      </c>
      <c r="L2" s="1272"/>
      <c r="M2" s="1271">
        <v>2019</v>
      </c>
      <c r="N2" s="1292"/>
      <c r="O2" s="1271">
        <v>2020</v>
      </c>
      <c r="P2" s="1293"/>
      <c r="Q2" s="1294">
        <v>2021</v>
      </c>
      <c r="R2" s="1293"/>
      <c r="S2" s="1271">
        <v>2022</v>
      </c>
      <c r="T2" s="1272"/>
      <c r="U2" s="1348">
        <v>2019</v>
      </c>
      <c r="V2" s="1349"/>
      <c r="W2" s="1349"/>
      <c r="X2" s="1348">
        <v>2020</v>
      </c>
      <c r="Y2" s="1349"/>
      <c r="Z2" s="1350"/>
      <c r="AA2" s="1351">
        <v>2021</v>
      </c>
      <c r="AB2" s="1351"/>
      <c r="AC2" s="1352"/>
      <c r="AD2" s="1348">
        <v>2022</v>
      </c>
      <c r="AE2" s="1353"/>
      <c r="AF2" s="1252">
        <v>2019</v>
      </c>
      <c r="AG2" s="1253"/>
      <c r="AH2" s="1253"/>
      <c r="AI2" s="1252">
        <v>2020</v>
      </c>
      <c r="AJ2" s="1253"/>
      <c r="AK2" s="1254"/>
      <c r="AL2" s="1252">
        <v>2021</v>
      </c>
      <c r="AM2" s="1253"/>
      <c r="AN2" s="1254"/>
      <c r="AO2" s="1269">
        <v>2022</v>
      </c>
      <c r="AP2" s="1270"/>
    </row>
    <row r="3" spans="1:42" ht="30">
      <c r="A3" s="1255"/>
      <c r="B3" s="1" t="s">
        <v>1</v>
      </c>
      <c r="C3" s="2" t="s">
        <v>2</v>
      </c>
      <c r="D3" s="2" t="s">
        <v>3</v>
      </c>
      <c r="E3" s="1" t="s">
        <v>1</v>
      </c>
      <c r="F3" s="2" t="s">
        <v>2</v>
      </c>
      <c r="G3" s="3" t="s">
        <v>3</v>
      </c>
      <c r="H3" s="2" t="s">
        <v>1</v>
      </c>
      <c r="I3" s="2" t="s">
        <v>2</v>
      </c>
      <c r="J3" s="3" t="s">
        <v>3</v>
      </c>
      <c r="K3" s="2" t="s">
        <v>1</v>
      </c>
      <c r="L3" s="2" t="s">
        <v>3</v>
      </c>
      <c r="M3" s="1" t="s">
        <v>2</v>
      </c>
      <c r="N3" s="2" t="s">
        <v>3</v>
      </c>
      <c r="O3" s="1" t="s">
        <v>2</v>
      </c>
      <c r="P3" s="3" t="s">
        <v>3</v>
      </c>
      <c r="Q3" s="2" t="s">
        <v>2</v>
      </c>
      <c r="R3" s="3" t="s">
        <v>3</v>
      </c>
      <c r="S3" s="60" t="s">
        <v>1</v>
      </c>
      <c r="T3" s="60" t="s">
        <v>3</v>
      </c>
      <c r="U3" s="56" t="s">
        <v>1</v>
      </c>
      <c r="V3" s="57" t="s">
        <v>2</v>
      </c>
      <c r="W3" s="57" t="s">
        <v>3</v>
      </c>
      <c r="X3" s="56" t="s">
        <v>1</v>
      </c>
      <c r="Y3" s="57" t="s">
        <v>2</v>
      </c>
      <c r="Z3" s="58" t="s">
        <v>3</v>
      </c>
      <c r="AA3" s="57" t="s">
        <v>67</v>
      </c>
      <c r="AB3" s="57" t="s">
        <v>2</v>
      </c>
      <c r="AC3" s="58" t="s">
        <v>3</v>
      </c>
      <c r="AD3" s="57" t="s">
        <v>1</v>
      </c>
      <c r="AE3" s="57" t="s">
        <v>3</v>
      </c>
      <c r="AF3" s="7" t="s">
        <v>6</v>
      </c>
      <c r="AG3" s="8" t="s">
        <v>7</v>
      </c>
      <c r="AH3" s="8" t="s">
        <v>3</v>
      </c>
      <c r="AI3" s="7" t="s">
        <v>6</v>
      </c>
      <c r="AJ3" s="8" t="s">
        <v>7</v>
      </c>
      <c r="AK3" s="9" t="s">
        <v>3</v>
      </c>
      <c r="AL3" s="7" t="s">
        <v>6</v>
      </c>
      <c r="AM3" s="8" t="s">
        <v>7</v>
      </c>
      <c r="AN3" s="9" t="s">
        <v>3</v>
      </c>
      <c r="AO3" s="365" t="s">
        <v>1</v>
      </c>
      <c r="AP3" s="366" t="s">
        <v>3</v>
      </c>
    </row>
    <row r="4" spans="1:42">
      <c r="A4" s="14" t="s">
        <v>35</v>
      </c>
      <c r="B4" s="116">
        <v>8797</v>
      </c>
      <c r="C4" s="116">
        <v>8847</v>
      </c>
      <c r="D4" s="116">
        <v>42346</v>
      </c>
      <c r="E4" s="115">
        <v>9221</v>
      </c>
      <c r="F4" s="116">
        <v>9259</v>
      </c>
      <c r="G4" s="117">
        <v>44611</v>
      </c>
      <c r="H4" s="116">
        <v>5452</v>
      </c>
      <c r="I4" s="396">
        <v>5429</v>
      </c>
      <c r="J4" s="397">
        <v>30279</v>
      </c>
      <c r="K4" s="396">
        <v>8695</v>
      </c>
      <c r="L4" s="396">
        <v>48155</v>
      </c>
      <c r="M4" s="1341">
        <v>812067</v>
      </c>
      <c r="N4" s="1340">
        <v>1851785</v>
      </c>
      <c r="O4" s="1360">
        <v>715376</v>
      </c>
      <c r="P4" s="1325">
        <v>1547612</v>
      </c>
      <c r="Q4" s="1360">
        <v>844164</v>
      </c>
      <c r="R4" s="1325">
        <v>1796292</v>
      </c>
      <c r="S4" s="1360">
        <v>714316</v>
      </c>
      <c r="T4" s="1325">
        <v>2566188</v>
      </c>
      <c r="U4" s="115">
        <v>961</v>
      </c>
      <c r="V4" s="1328">
        <v>8413</v>
      </c>
      <c r="W4" s="1325">
        <v>14497</v>
      </c>
      <c r="X4" s="115">
        <v>801</v>
      </c>
      <c r="Y4" s="1328">
        <v>5256</v>
      </c>
      <c r="Z4" s="1325">
        <v>7784</v>
      </c>
      <c r="AA4" s="116">
        <v>482</v>
      </c>
      <c r="AB4" s="1337">
        <v>6526</v>
      </c>
      <c r="AC4" s="1340">
        <v>8119.78</v>
      </c>
      <c r="AD4" s="1341">
        <v>8737</v>
      </c>
      <c r="AE4" s="1340">
        <v>11145</v>
      </c>
      <c r="AF4" s="118">
        <v>162</v>
      </c>
      <c r="AG4" s="1331">
        <v>1663</v>
      </c>
      <c r="AH4" s="1334">
        <v>258166</v>
      </c>
      <c r="AI4" s="142">
        <v>180</v>
      </c>
      <c r="AJ4" s="1331">
        <v>1013</v>
      </c>
      <c r="AK4" s="1334">
        <v>194689</v>
      </c>
      <c r="AL4" s="142">
        <v>68</v>
      </c>
      <c r="AM4" s="1331">
        <f>972+55</f>
        <v>1027</v>
      </c>
      <c r="AN4" s="1334">
        <f>101346+5762.02</f>
        <v>107108.02</v>
      </c>
      <c r="AO4" s="1354">
        <v>1143</v>
      </c>
      <c r="AP4" s="1357">
        <v>128533.8</v>
      </c>
    </row>
    <row r="5" spans="1:42">
      <c r="A5" s="15" t="s">
        <v>36</v>
      </c>
      <c r="B5" s="121">
        <v>6429</v>
      </c>
      <c r="C5" s="121">
        <v>6470</v>
      </c>
      <c r="D5" s="121">
        <v>31607</v>
      </c>
      <c r="E5" s="120">
        <v>7243</v>
      </c>
      <c r="F5" s="121">
        <v>7285</v>
      </c>
      <c r="G5" s="122">
        <v>35622</v>
      </c>
      <c r="H5" s="121">
        <v>5179</v>
      </c>
      <c r="I5" s="393">
        <v>5201</v>
      </c>
      <c r="J5" s="391">
        <v>29120</v>
      </c>
      <c r="K5" s="393">
        <v>7684</v>
      </c>
      <c r="L5" s="393">
        <v>42953</v>
      </c>
      <c r="M5" s="1304"/>
      <c r="N5" s="1306"/>
      <c r="O5" s="1361"/>
      <c r="P5" s="1326"/>
      <c r="Q5" s="1361"/>
      <c r="R5" s="1326"/>
      <c r="S5" s="1289"/>
      <c r="T5" s="1317"/>
      <c r="U5" s="120">
        <v>518</v>
      </c>
      <c r="V5" s="1329"/>
      <c r="W5" s="1326"/>
      <c r="X5" s="120">
        <v>840</v>
      </c>
      <c r="Y5" s="1329"/>
      <c r="Z5" s="1326"/>
      <c r="AA5" s="121">
        <v>361</v>
      </c>
      <c r="AB5" s="1338"/>
      <c r="AC5" s="1306"/>
      <c r="AD5" s="1304"/>
      <c r="AE5" s="1306"/>
      <c r="AF5" s="123">
        <v>118</v>
      </c>
      <c r="AG5" s="1332"/>
      <c r="AH5" s="1335"/>
      <c r="AI5" s="143">
        <v>132</v>
      </c>
      <c r="AJ5" s="1332"/>
      <c r="AK5" s="1335"/>
      <c r="AL5" s="143">
        <v>70</v>
      </c>
      <c r="AM5" s="1332"/>
      <c r="AN5" s="1335"/>
      <c r="AO5" s="1355"/>
      <c r="AP5" s="1358"/>
    </row>
    <row r="6" spans="1:42">
      <c r="A6" s="15" t="s">
        <v>37</v>
      </c>
      <c r="B6" s="121">
        <v>8836</v>
      </c>
      <c r="C6" s="121">
        <v>8752</v>
      </c>
      <c r="D6" s="121">
        <v>41917</v>
      </c>
      <c r="E6" s="120">
        <v>4950</v>
      </c>
      <c r="F6" s="121">
        <v>4976</v>
      </c>
      <c r="G6" s="122">
        <v>25106</v>
      </c>
      <c r="H6" s="121">
        <v>4089</v>
      </c>
      <c r="I6" s="393">
        <v>4073</v>
      </c>
      <c r="J6" s="391">
        <v>23388</v>
      </c>
      <c r="K6" s="393">
        <v>7220</v>
      </c>
      <c r="L6" s="393">
        <v>40566</v>
      </c>
      <c r="M6" s="1304"/>
      <c r="N6" s="1306"/>
      <c r="O6" s="1361"/>
      <c r="P6" s="1326"/>
      <c r="Q6" s="1361"/>
      <c r="R6" s="1326"/>
      <c r="S6" s="1289"/>
      <c r="T6" s="1317"/>
      <c r="U6" s="120">
        <v>945</v>
      </c>
      <c r="V6" s="1329"/>
      <c r="W6" s="1326"/>
      <c r="X6" s="120">
        <v>449</v>
      </c>
      <c r="Y6" s="1329"/>
      <c r="Z6" s="1326"/>
      <c r="AA6" s="121">
        <v>290</v>
      </c>
      <c r="AB6" s="1338"/>
      <c r="AC6" s="1306"/>
      <c r="AD6" s="1304"/>
      <c r="AE6" s="1306"/>
      <c r="AF6" s="123">
        <v>197</v>
      </c>
      <c r="AG6" s="1332"/>
      <c r="AH6" s="1335"/>
      <c r="AI6" s="143">
        <v>75</v>
      </c>
      <c r="AJ6" s="1332"/>
      <c r="AK6" s="1335"/>
      <c r="AL6" s="143">
        <v>34</v>
      </c>
      <c r="AM6" s="1332"/>
      <c r="AN6" s="1335"/>
      <c r="AO6" s="1355"/>
      <c r="AP6" s="1358"/>
    </row>
    <row r="7" spans="1:42">
      <c r="A7" s="15" t="s">
        <v>38</v>
      </c>
      <c r="B7" s="121">
        <v>7214</v>
      </c>
      <c r="C7" s="121">
        <v>7244</v>
      </c>
      <c r="D7" s="121">
        <v>35104</v>
      </c>
      <c r="E7" s="120">
        <v>2526</v>
      </c>
      <c r="F7" s="121">
        <v>2530</v>
      </c>
      <c r="G7" s="122">
        <v>13967</v>
      </c>
      <c r="H7" s="121">
        <v>4597</v>
      </c>
      <c r="I7" s="393">
        <v>4566</v>
      </c>
      <c r="J7" s="391">
        <v>25893</v>
      </c>
      <c r="K7" s="393">
        <v>7020</v>
      </c>
      <c r="L7" s="393">
        <v>39537</v>
      </c>
      <c r="M7" s="1304"/>
      <c r="N7" s="1306"/>
      <c r="O7" s="1361"/>
      <c r="P7" s="1326"/>
      <c r="Q7" s="1361"/>
      <c r="R7" s="1326"/>
      <c r="S7" s="1289"/>
      <c r="T7" s="1317"/>
      <c r="U7" s="120">
        <v>728</v>
      </c>
      <c r="V7" s="1329"/>
      <c r="W7" s="1326"/>
      <c r="X7" s="120">
        <v>31</v>
      </c>
      <c r="Y7" s="1329"/>
      <c r="Z7" s="1326"/>
      <c r="AA7" s="121">
        <v>392</v>
      </c>
      <c r="AB7" s="1338"/>
      <c r="AC7" s="1306"/>
      <c r="AD7" s="1304"/>
      <c r="AE7" s="1306"/>
      <c r="AF7" s="123">
        <v>164</v>
      </c>
      <c r="AG7" s="1332"/>
      <c r="AH7" s="1335"/>
      <c r="AI7" s="143">
        <v>12</v>
      </c>
      <c r="AJ7" s="1332"/>
      <c r="AK7" s="1335"/>
      <c r="AL7" s="143">
        <v>61</v>
      </c>
      <c r="AM7" s="1332"/>
      <c r="AN7" s="1335"/>
      <c r="AO7" s="1355"/>
      <c r="AP7" s="1358"/>
    </row>
    <row r="8" spans="1:42">
      <c r="A8" s="15" t="s">
        <v>39</v>
      </c>
      <c r="B8" s="121">
        <v>7608</v>
      </c>
      <c r="C8" s="121">
        <v>7665</v>
      </c>
      <c r="D8" s="121">
        <v>37006</v>
      </c>
      <c r="E8" s="120">
        <v>3640</v>
      </c>
      <c r="F8" s="121">
        <v>3669</v>
      </c>
      <c r="G8" s="122">
        <v>19154</v>
      </c>
      <c r="H8" s="121">
        <v>6954</v>
      </c>
      <c r="I8" s="393">
        <v>6941</v>
      </c>
      <c r="J8" s="391">
        <v>37963</v>
      </c>
      <c r="K8" s="393">
        <v>7505</v>
      </c>
      <c r="L8" s="393">
        <v>42032</v>
      </c>
      <c r="M8" s="1304"/>
      <c r="N8" s="1306"/>
      <c r="O8" s="1361"/>
      <c r="P8" s="1326"/>
      <c r="Q8" s="1361"/>
      <c r="R8" s="1326"/>
      <c r="S8" s="1289"/>
      <c r="T8" s="1317"/>
      <c r="U8" s="120">
        <v>890</v>
      </c>
      <c r="V8" s="1329"/>
      <c r="W8" s="1326"/>
      <c r="X8" s="120">
        <v>234</v>
      </c>
      <c r="Y8" s="1329"/>
      <c r="Z8" s="1326"/>
      <c r="AA8" s="121">
        <v>500</v>
      </c>
      <c r="AB8" s="1338"/>
      <c r="AC8" s="1306"/>
      <c r="AD8" s="1304"/>
      <c r="AE8" s="1306"/>
      <c r="AF8" s="123">
        <v>166</v>
      </c>
      <c r="AG8" s="1332"/>
      <c r="AH8" s="1335"/>
      <c r="AI8" s="143">
        <v>51</v>
      </c>
      <c r="AJ8" s="1332"/>
      <c r="AK8" s="1335"/>
      <c r="AL8" s="143">
        <v>127</v>
      </c>
      <c r="AM8" s="1332"/>
      <c r="AN8" s="1335"/>
      <c r="AO8" s="1355"/>
      <c r="AP8" s="1358"/>
    </row>
    <row r="9" spans="1:42">
      <c r="A9" s="15" t="s">
        <v>40</v>
      </c>
      <c r="B9" s="121">
        <v>6463</v>
      </c>
      <c r="C9" s="121">
        <v>6572</v>
      </c>
      <c r="D9" s="121">
        <v>32068</v>
      </c>
      <c r="E9" s="120">
        <v>5358</v>
      </c>
      <c r="F9" s="121">
        <v>5347</v>
      </c>
      <c r="G9" s="122">
        <v>26796</v>
      </c>
      <c r="H9" s="121">
        <v>6981</v>
      </c>
      <c r="I9" s="393">
        <v>7066</v>
      </c>
      <c r="J9" s="391">
        <v>38598</v>
      </c>
      <c r="K9" s="393">
        <v>7130</v>
      </c>
      <c r="L9" s="393">
        <v>40102</v>
      </c>
      <c r="M9" s="1304"/>
      <c r="N9" s="1306"/>
      <c r="O9" s="1361"/>
      <c r="P9" s="1326"/>
      <c r="Q9" s="1361"/>
      <c r="R9" s="1326"/>
      <c r="S9" s="1289"/>
      <c r="T9" s="1317"/>
      <c r="U9" s="120">
        <v>673</v>
      </c>
      <c r="V9" s="1329"/>
      <c r="W9" s="1326"/>
      <c r="X9" s="120">
        <v>311</v>
      </c>
      <c r="Y9" s="1329"/>
      <c r="Z9" s="1326"/>
      <c r="AA9" s="121">
        <v>869</v>
      </c>
      <c r="AB9" s="1338"/>
      <c r="AC9" s="1306"/>
      <c r="AD9" s="1304"/>
      <c r="AE9" s="1306"/>
      <c r="AF9" s="123">
        <v>153</v>
      </c>
      <c r="AG9" s="1332"/>
      <c r="AH9" s="1335"/>
      <c r="AI9" s="143">
        <v>95</v>
      </c>
      <c r="AJ9" s="1332"/>
      <c r="AK9" s="1335"/>
      <c r="AL9" s="143">
        <v>138</v>
      </c>
      <c r="AM9" s="1332"/>
      <c r="AN9" s="1335"/>
      <c r="AO9" s="1355"/>
      <c r="AP9" s="1358"/>
    </row>
    <row r="10" spans="1:42">
      <c r="A10" s="15" t="s">
        <v>41</v>
      </c>
      <c r="B10" s="121">
        <v>2535</v>
      </c>
      <c r="C10" s="121">
        <v>2428</v>
      </c>
      <c r="D10" s="121">
        <v>13345</v>
      </c>
      <c r="E10" s="120">
        <v>2383</v>
      </c>
      <c r="F10" s="121">
        <v>2359</v>
      </c>
      <c r="G10" s="122">
        <v>13188</v>
      </c>
      <c r="H10" s="121">
        <v>1952</v>
      </c>
      <c r="I10" s="393">
        <v>1960</v>
      </c>
      <c r="J10" s="391">
        <v>12651</v>
      </c>
      <c r="K10" s="393">
        <v>1999</v>
      </c>
      <c r="L10" s="393">
        <v>13702</v>
      </c>
      <c r="M10" s="1304"/>
      <c r="N10" s="1306"/>
      <c r="O10" s="1361"/>
      <c r="P10" s="1326"/>
      <c r="Q10" s="1361"/>
      <c r="R10" s="1326"/>
      <c r="S10" s="1289"/>
      <c r="T10" s="1317"/>
      <c r="U10" s="120">
        <v>357</v>
      </c>
      <c r="V10" s="1329"/>
      <c r="W10" s="1326"/>
      <c r="X10" s="390">
        <v>357</v>
      </c>
      <c r="Y10" s="1329"/>
      <c r="Z10" s="1326"/>
      <c r="AA10" s="121">
        <v>18</v>
      </c>
      <c r="AB10" s="1338"/>
      <c r="AC10" s="1306"/>
      <c r="AD10" s="1304"/>
      <c r="AE10" s="1306"/>
      <c r="AF10" s="123">
        <v>46</v>
      </c>
      <c r="AG10" s="1332"/>
      <c r="AH10" s="1335"/>
      <c r="AI10" s="143">
        <v>11</v>
      </c>
      <c r="AJ10" s="1332"/>
      <c r="AK10" s="1335"/>
      <c r="AL10" s="143">
        <v>9.1</v>
      </c>
      <c r="AM10" s="1332"/>
      <c r="AN10" s="1335"/>
      <c r="AO10" s="1355"/>
      <c r="AP10" s="1358"/>
    </row>
    <row r="11" spans="1:42">
      <c r="A11" s="15" t="s">
        <v>42</v>
      </c>
      <c r="B11" s="121">
        <v>2443</v>
      </c>
      <c r="C11" s="121">
        <v>2411</v>
      </c>
      <c r="D11" s="121">
        <v>13268</v>
      </c>
      <c r="E11" s="120">
        <v>2926</v>
      </c>
      <c r="F11" s="121">
        <v>2854</v>
      </c>
      <c r="G11" s="122">
        <v>15443</v>
      </c>
      <c r="H11" s="121">
        <v>2364</v>
      </c>
      <c r="I11" s="393">
        <v>2316</v>
      </c>
      <c r="J11" s="391">
        <v>14460</v>
      </c>
      <c r="K11" s="393">
        <v>2399</v>
      </c>
      <c r="L11" s="393">
        <v>15760</v>
      </c>
      <c r="M11" s="1304"/>
      <c r="N11" s="1306"/>
      <c r="O11" s="1361"/>
      <c r="P11" s="1326"/>
      <c r="Q11" s="1361"/>
      <c r="R11" s="1326"/>
      <c r="S11" s="1289"/>
      <c r="T11" s="1317"/>
      <c r="U11" s="120">
        <v>22</v>
      </c>
      <c r="V11" s="1329"/>
      <c r="W11" s="1326"/>
      <c r="X11" s="120">
        <v>14</v>
      </c>
      <c r="Y11" s="1329"/>
      <c r="Z11" s="1326"/>
      <c r="AA11" s="121">
        <v>15</v>
      </c>
      <c r="AB11" s="1338"/>
      <c r="AC11" s="1306"/>
      <c r="AD11" s="1304"/>
      <c r="AE11" s="1306"/>
      <c r="AF11" s="123">
        <v>30</v>
      </c>
      <c r="AG11" s="1332"/>
      <c r="AH11" s="1335"/>
      <c r="AI11" s="143">
        <v>30</v>
      </c>
      <c r="AJ11" s="1332"/>
      <c r="AK11" s="1335"/>
      <c r="AL11" s="143">
        <v>20</v>
      </c>
      <c r="AM11" s="1332"/>
      <c r="AN11" s="1335"/>
      <c r="AO11" s="1355"/>
      <c r="AP11" s="1358"/>
    </row>
    <row r="12" spans="1:42">
      <c r="A12" s="15" t="s">
        <v>43</v>
      </c>
      <c r="B12" s="121">
        <v>7866</v>
      </c>
      <c r="C12" s="121">
        <v>7867</v>
      </c>
      <c r="D12" s="121">
        <v>37919</v>
      </c>
      <c r="E12" s="120">
        <v>7597</v>
      </c>
      <c r="F12" s="121">
        <v>7662</v>
      </c>
      <c r="G12" s="122">
        <v>37338</v>
      </c>
      <c r="H12" s="121">
        <v>7701</v>
      </c>
      <c r="I12" s="393">
        <v>7357</v>
      </c>
      <c r="J12" s="391">
        <v>40076</v>
      </c>
      <c r="K12" s="393">
        <v>7305</v>
      </c>
      <c r="L12" s="393">
        <v>41003</v>
      </c>
      <c r="M12" s="1304"/>
      <c r="N12" s="1306"/>
      <c r="O12" s="1361"/>
      <c r="P12" s="1326"/>
      <c r="Q12" s="1361"/>
      <c r="R12" s="1326"/>
      <c r="S12" s="1289"/>
      <c r="T12" s="1317"/>
      <c r="U12" s="120">
        <v>781</v>
      </c>
      <c r="V12" s="1329"/>
      <c r="W12" s="1326"/>
      <c r="X12" s="120">
        <v>824</v>
      </c>
      <c r="Y12" s="1329"/>
      <c r="Z12" s="1326"/>
      <c r="AA12" s="121">
        <v>919</v>
      </c>
      <c r="AB12" s="1338"/>
      <c r="AC12" s="1306"/>
      <c r="AD12" s="1304"/>
      <c r="AE12" s="1306"/>
      <c r="AF12" s="123">
        <v>161</v>
      </c>
      <c r="AG12" s="1332"/>
      <c r="AH12" s="1335"/>
      <c r="AI12" s="143">
        <v>166</v>
      </c>
      <c r="AJ12" s="1332"/>
      <c r="AK12" s="1335"/>
      <c r="AL12" s="143">
        <v>144</v>
      </c>
      <c r="AM12" s="1332"/>
      <c r="AN12" s="1335"/>
      <c r="AO12" s="1355"/>
      <c r="AP12" s="1358"/>
    </row>
    <row r="13" spans="1:42">
      <c r="A13" s="15" t="s">
        <v>44</v>
      </c>
      <c r="B13" s="121">
        <v>9276</v>
      </c>
      <c r="C13" s="121">
        <v>8581</v>
      </c>
      <c r="D13" s="121">
        <v>41145</v>
      </c>
      <c r="E13" s="120">
        <v>6036</v>
      </c>
      <c r="F13" s="121">
        <v>5997</v>
      </c>
      <c r="G13" s="122">
        <v>29756</v>
      </c>
      <c r="H13" s="121">
        <v>7202</v>
      </c>
      <c r="I13" s="393">
        <v>7502</v>
      </c>
      <c r="J13" s="391">
        <v>40813</v>
      </c>
      <c r="K13" s="393">
        <v>6986</v>
      </c>
      <c r="L13" s="393">
        <v>35177</v>
      </c>
      <c r="M13" s="1304"/>
      <c r="N13" s="1306"/>
      <c r="O13" s="1361"/>
      <c r="P13" s="1326"/>
      <c r="Q13" s="1361"/>
      <c r="R13" s="1326"/>
      <c r="S13" s="1289"/>
      <c r="T13" s="1317"/>
      <c r="U13" s="120">
        <v>783</v>
      </c>
      <c r="V13" s="1329"/>
      <c r="W13" s="1326"/>
      <c r="X13" s="120">
        <v>647</v>
      </c>
      <c r="Y13" s="1329"/>
      <c r="Z13" s="1326"/>
      <c r="AA13" s="121">
        <v>832</v>
      </c>
      <c r="AB13" s="1338"/>
      <c r="AC13" s="1306"/>
      <c r="AD13" s="1304"/>
      <c r="AE13" s="1306"/>
      <c r="AF13" s="123">
        <v>172</v>
      </c>
      <c r="AG13" s="1332"/>
      <c r="AH13" s="1335"/>
      <c r="AI13" s="143">
        <v>95</v>
      </c>
      <c r="AJ13" s="1332"/>
      <c r="AK13" s="1335"/>
      <c r="AL13" s="143">
        <v>119</v>
      </c>
      <c r="AM13" s="1332"/>
      <c r="AN13" s="1335"/>
      <c r="AO13" s="1355"/>
      <c r="AP13" s="1358"/>
    </row>
    <row r="14" spans="1:42">
      <c r="A14" s="15" t="s">
        <v>45</v>
      </c>
      <c r="B14" s="121">
        <v>9300</v>
      </c>
      <c r="C14" s="121">
        <v>9955</v>
      </c>
      <c r="D14" s="121">
        <v>47353</v>
      </c>
      <c r="E14" s="120">
        <v>4929</v>
      </c>
      <c r="F14" s="121">
        <v>4905</v>
      </c>
      <c r="G14" s="122">
        <v>24783</v>
      </c>
      <c r="H14" s="121">
        <v>8760</v>
      </c>
      <c r="I14" s="393">
        <v>8845</v>
      </c>
      <c r="J14" s="391">
        <v>39370</v>
      </c>
      <c r="K14" s="393">
        <v>7874</v>
      </c>
      <c r="L14" s="393">
        <v>39124</v>
      </c>
      <c r="M14" s="1304"/>
      <c r="N14" s="1306"/>
      <c r="O14" s="1361"/>
      <c r="P14" s="1326"/>
      <c r="Q14" s="1361"/>
      <c r="R14" s="1326"/>
      <c r="S14" s="1289"/>
      <c r="T14" s="1317"/>
      <c r="U14" s="120">
        <v>836</v>
      </c>
      <c r="V14" s="1329"/>
      <c r="W14" s="1326"/>
      <c r="X14" s="120">
        <v>423</v>
      </c>
      <c r="Y14" s="1329"/>
      <c r="Z14" s="1326"/>
      <c r="AA14" s="121">
        <v>1062</v>
      </c>
      <c r="AB14" s="1338"/>
      <c r="AC14" s="1306"/>
      <c r="AD14" s="1304"/>
      <c r="AE14" s="1306"/>
      <c r="AF14" s="123">
        <v>178</v>
      </c>
      <c r="AG14" s="1332"/>
      <c r="AH14" s="1335"/>
      <c r="AI14" s="143">
        <v>56</v>
      </c>
      <c r="AJ14" s="1332"/>
      <c r="AK14" s="1335"/>
      <c r="AL14" s="143">
        <v>133</v>
      </c>
      <c r="AM14" s="1332"/>
      <c r="AN14" s="1335"/>
      <c r="AO14" s="1355"/>
      <c r="AP14" s="1358"/>
    </row>
    <row r="15" spans="1:42">
      <c r="A15" s="16" t="s">
        <v>46</v>
      </c>
      <c r="B15" s="121">
        <v>7609</v>
      </c>
      <c r="C15" s="121">
        <v>7570</v>
      </c>
      <c r="D15" s="121">
        <v>36577</v>
      </c>
      <c r="E15" s="120">
        <v>6722</v>
      </c>
      <c r="F15" s="121">
        <v>6774</v>
      </c>
      <c r="G15" s="122">
        <v>33294</v>
      </c>
      <c r="H15" s="121">
        <v>6595</v>
      </c>
      <c r="I15" s="393">
        <v>6482</v>
      </c>
      <c r="J15" s="391">
        <v>29446</v>
      </c>
      <c r="K15" s="393">
        <v>6349</v>
      </c>
      <c r="L15" s="393">
        <v>32281</v>
      </c>
      <c r="M15" s="1305"/>
      <c r="N15" s="1307"/>
      <c r="O15" s="1362"/>
      <c r="P15" s="1327"/>
      <c r="Q15" s="1362"/>
      <c r="R15" s="1327"/>
      <c r="S15" s="1290"/>
      <c r="T15" s="1318"/>
      <c r="U15" s="120">
        <v>782</v>
      </c>
      <c r="V15" s="1330"/>
      <c r="W15" s="1327"/>
      <c r="X15" s="120">
        <v>694</v>
      </c>
      <c r="Y15" s="1330"/>
      <c r="Z15" s="1327"/>
      <c r="AA15" s="121">
        <v>639</v>
      </c>
      <c r="AB15" s="1339"/>
      <c r="AC15" s="1307"/>
      <c r="AD15" s="1305"/>
      <c r="AE15" s="1307"/>
      <c r="AF15" s="123">
        <v>143</v>
      </c>
      <c r="AG15" s="1333"/>
      <c r="AH15" s="1336"/>
      <c r="AI15" s="143">
        <v>96</v>
      </c>
      <c r="AJ15" s="1333"/>
      <c r="AK15" s="1336"/>
      <c r="AL15" s="143">
        <v>86</v>
      </c>
      <c r="AM15" s="1333"/>
      <c r="AN15" s="1336"/>
      <c r="AO15" s="1356"/>
      <c r="AP15" s="1359"/>
    </row>
    <row r="16" spans="1:42">
      <c r="A16" s="114" t="s">
        <v>4</v>
      </c>
      <c r="B16" s="133">
        <f t="shared" ref="B16:AM16" si="0">SUM(B4:B15)</f>
        <v>84376</v>
      </c>
      <c r="C16" s="133">
        <f t="shared" si="0"/>
        <v>84362</v>
      </c>
      <c r="D16" s="133">
        <f t="shared" si="0"/>
        <v>409655</v>
      </c>
      <c r="E16" s="133">
        <f t="shared" si="0"/>
        <v>63531</v>
      </c>
      <c r="F16" s="133">
        <f t="shared" si="0"/>
        <v>63617</v>
      </c>
      <c r="G16" s="133">
        <f t="shared" si="0"/>
        <v>319058</v>
      </c>
      <c r="H16" s="133">
        <f t="shared" si="0"/>
        <v>67826</v>
      </c>
      <c r="I16" s="133">
        <f t="shared" si="0"/>
        <v>67738</v>
      </c>
      <c r="J16" s="133">
        <f t="shared" si="0"/>
        <v>362057</v>
      </c>
      <c r="K16" s="133">
        <f>SUM(K4:K15)</f>
        <v>78166</v>
      </c>
      <c r="L16" s="133">
        <f>SUM(L4:L15)</f>
        <v>430392</v>
      </c>
      <c r="M16" s="133">
        <f t="shared" si="0"/>
        <v>812067</v>
      </c>
      <c r="N16" s="133">
        <f t="shared" si="0"/>
        <v>1851785</v>
      </c>
      <c r="O16" s="133">
        <f t="shared" si="0"/>
        <v>715376</v>
      </c>
      <c r="P16" s="133">
        <f t="shared" si="0"/>
        <v>1547612</v>
      </c>
      <c r="Q16" s="133">
        <f t="shared" si="0"/>
        <v>844164</v>
      </c>
      <c r="R16" s="133">
        <f t="shared" si="0"/>
        <v>1796292</v>
      </c>
      <c r="S16" s="133">
        <f>SUM(S4:S15)</f>
        <v>714316</v>
      </c>
      <c r="T16" s="133">
        <f>SUM(T4:T15)</f>
        <v>2566188</v>
      </c>
      <c r="U16" s="133">
        <f t="shared" si="0"/>
        <v>8276</v>
      </c>
      <c r="V16" s="133">
        <f t="shared" si="0"/>
        <v>8413</v>
      </c>
      <c r="W16" s="133">
        <f t="shared" si="0"/>
        <v>14497</v>
      </c>
      <c r="X16" s="133">
        <f t="shared" si="0"/>
        <v>5625</v>
      </c>
      <c r="Y16" s="133">
        <f t="shared" si="0"/>
        <v>5256</v>
      </c>
      <c r="Z16" s="133">
        <f t="shared" si="0"/>
        <v>7784</v>
      </c>
      <c r="AA16" s="133">
        <f t="shared" si="0"/>
        <v>6379</v>
      </c>
      <c r="AB16" s="133">
        <f t="shared" si="0"/>
        <v>6526</v>
      </c>
      <c r="AC16" s="133">
        <f t="shared" si="0"/>
        <v>8119.78</v>
      </c>
      <c r="AD16" s="133">
        <f>SUM(AD4:AD15)</f>
        <v>8737</v>
      </c>
      <c r="AE16" s="133">
        <f>SUM(AE4:AE15)</f>
        <v>11145</v>
      </c>
      <c r="AF16" s="133">
        <f t="shared" si="0"/>
        <v>1690</v>
      </c>
      <c r="AG16" s="133">
        <f t="shared" si="0"/>
        <v>1663</v>
      </c>
      <c r="AH16" s="133">
        <f t="shared" si="0"/>
        <v>258166</v>
      </c>
      <c r="AI16" s="133">
        <f t="shared" si="0"/>
        <v>999</v>
      </c>
      <c r="AJ16" s="133">
        <f t="shared" si="0"/>
        <v>1013</v>
      </c>
      <c r="AK16" s="133">
        <f t="shared" si="0"/>
        <v>194689</v>
      </c>
      <c r="AL16" s="133">
        <f t="shared" si="0"/>
        <v>1009.1</v>
      </c>
      <c r="AM16" s="133">
        <f t="shared" si="0"/>
        <v>1027</v>
      </c>
      <c r="AN16" s="133">
        <f>SUM(AN4:AN15)</f>
        <v>107108.02</v>
      </c>
      <c r="AO16" s="363">
        <f>SUM(AO4:AO15)</f>
        <v>1143</v>
      </c>
      <c r="AP16" s="364">
        <f>SUM(AP4:AP15)</f>
        <v>128533.8</v>
      </c>
    </row>
  </sheetData>
  <mergeCells count="45">
    <mergeCell ref="M4:M15"/>
    <mergeCell ref="N4:N15"/>
    <mergeCell ref="AO4:AO15"/>
    <mergeCell ref="AP4:AP15"/>
    <mergeCell ref="AO2:AP2"/>
    <mergeCell ref="AJ4:AJ15"/>
    <mergeCell ref="AK4:AK15"/>
    <mergeCell ref="AM4:AM15"/>
    <mergeCell ref="AN4:AN15"/>
    <mergeCell ref="O4:O15"/>
    <mergeCell ref="P4:P15"/>
    <mergeCell ref="Q4:Q15"/>
    <mergeCell ref="R4:R15"/>
    <mergeCell ref="V4:V15"/>
    <mergeCell ref="S4:S15"/>
    <mergeCell ref="T4:T15"/>
    <mergeCell ref="AF1:AP1"/>
    <mergeCell ref="AD2:AE2"/>
    <mergeCell ref="AF2:AH2"/>
    <mergeCell ref="AI2:AK2"/>
    <mergeCell ref="AL2:AN2"/>
    <mergeCell ref="U1:AC1"/>
    <mergeCell ref="A1:A3"/>
    <mergeCell ref="B2:D2"/>
    <mergeCell ref="E2:G2"/>
    <mergeCell ref="H2:J2"/>
    <mergeCell ref="B1:J1"/>
    <mergeCell ref="K2:L2"/>
    <mergeCell ref="U2:W2"/>
    <mergeCell ref="X2:Z2"/>
    <mergeCell ref="AA2:AC2"/>
    <mergeCell ref="M1:T1"/>
    <mergeCell ref="S2:T2"/>
    <mergeCell ref="M2:N2"/>
    <mergeCell ref="O2:P2"/>
    <mergeCell ref="Q2:R2"/>
    <mergeCell ref="W4:W15"/>
    <mergeCell ref="Y4:Y15"/>
    <mergeCell ref="Z4:Z15"/>
    <mergeCell ref="AG4:AG15"/>
    <mergeCell ref="AH4:AH15"/>
    <mergeCell ref="AB4:AB15"/>
    <mergeCell ref="AC4:AC15"/>
    <mergeCell ref="AD4:AD15"/>
    <mergeCell ref="AE4:AE15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5"/>
  <sheetViews>
    <sheetView workbookViewId="0">
      <pane xSplit="1" topLeftCell="V1" activePane="topRight" state="frozen"/>
      <selection pane="topRight" activeCell="AI30" sqref="AI30"/>
    </sheetView>
  </sheetViews>
  <sheetFormatPr defaultColWidth="8.85546875" defaultRowHeight="15"/>
  <cols>
    <col min="2" max="8" width="9.42578125" bestFit="1" customWidth="1"/>
    <col min="13" max="19" width="9.42578125" bestFit="1" customWidth="1"/>
    <col min="24" max="30" width="9.42578125" bestFit="1" customWidth="1"/>
    <col min="35" max="41" width="9.42578125" bestFit="1" customWidth="1"/>
    <col min="46" max="47" width="10" bestFit="1" customWidth="1"/>
    <col min="48" max="48" width="9.7109375" customWidth="1"/>
    <col min="49" max="50" width="10.140625" customWidth="1"/>
    <col min="51" max="53" width="9.7109375" customWidth="1"/>
    <col min="54" max="60" width="9.140625" customWidth="1"/>
    <col min="61" max="61" width="13.7109375" bestFit="1" customWidth="1"/>
    <col min="62" max="64" width="9.140625" customWidth="1"/>
    <col min="65" max="66" width="9.42578125" bestFit="1" customWidth="1"/>
    <col min="67" max="67" width="10" bestFit="1" customWidth="1"/>
    <col min="68" max="73" width="9.42578125" bestFit="1" customWidth="1"/>
  </cols>
  <sheetData>
    <row r="1" spans="1:75">
      <c r="A1" s="1255"/>
      <c r="B1" s="1261" t="s">
        <v>59</v>
      </c>
      <c r="C1" s="1262"/>
      <c r="D1" s="1262"/>
      <c r="E1" s="1262"/>
      <c r="F1" s="1262"/>
      <c r="G1" s="1262"/>
      <c r="H1" s="1262"/>
      <c r="I1" s="1262"/>
      <c r="J1" s="1262"/>
      <c r="K1" s="1263"/>
      <c r="L1" s="1264"/>
      <c r="M1" s="1261" t="s">
        <v>60</v>
      </c>
      <c r="N1" s="1262"/>
      <c r="O1" s="1262"/>
      <c r="P1" s="1262"/>
      <c r="Q1" s="1262"/>
      <c r="R1" s="1262"/>
      <c r="S1" s="1262"/>
      <c r="T1" s="1262"/>
      <c r="U1" s="1262"/>
      <c r="V1" s="1263"/>
      <c r="W1" s="1264"/>
      <c r="X1" s="1261" t="s">
        <v>61</v>
      </c>
      <c r="Y1" s="1262"/>
      <c r="Z1" s="1262"/>
      <c r="AA1" s="1262"/>
      <c r="AB1" s="1262"/>
      <c r="AC1" s="1262"/>
      <c r="AD1" s="1262"/>
      <c r="AE1" s="1262"/>
      <c r="AF1" s="1262"/>
      <c r="AG1" s="1263"/>
      <c r="AH1" s="1264"/>
      <c r="AI1" s="1261" t="s">
        <v>62</v>
      </c>
      <c r="AJ1" s="1262"/>
      <c r="AK1" s="1262"/>
      <c r="AL1" s="1262"/>
      <c r="AM1" s="1262"/>
      <c r="AN1" s="1262"/>
      <c r="AO1" s="1262"/>
      <c r="AP1" s="1262"/>
      <c r="AQ1" s="1262"/>
      <c r="AR1" s="1263"/>
      <c r="AS1" s="1264"/>
      <c r="AT1" s="1295" t="s">
        <v>58</v>
      </c>
      <c r="AU1" s="1296"/>
      <c r="AV1" s="1296"/>
      <c r="AW1" s="1296"/>
      <c r="AX1" s="1296"/>
      <c r="AY1" s="1296"/>
      <c r="AZ1" s="1297"/>
      <c r="BA1" s="1298"/>
      <c r="BB1" s="1295" t="s">
        <v>57</v>
      </c>
      <c r="BC1" s="1296"/>
      <c r="BD1" s="1296"/>
      <c r="BE1" s="1296"/>
      <c r="BF1" s="1296"/>
      <c r="BG1" s="1296"/>
      <c r="BH1" s="1296"/>
      <c r="BI1" s="1296"/>
      <c r="BJ1" s="1296"/>
      <c r="BK1" s="1297"/>
      <c r="BL1" s="1298"/>
      <c r="BM1" s="1265" t="s">
        <v>56</v>
      </c>
      <c r="BN1" s="1266"/>
      <c r="BO1" s="1266"/>
      <c r="BP1" s="1266"/>
      <c r="BQ1" s="1266"/>
      <c r="BR1" s="1266"/>
      <c r="BS1" s="1266"/>
      <c r="BT1" s="1266"/>
      <c r="BU1" s="1266"/>
      <c r="BV1" s="1267"/>
      <c r="BW1" s="1268"/>
    </row>
    <row r="2" spans="1:75">
      <c r="A2" s="1255"/>
      <c r="B2" s="1319">
        <v>2019</v>
      </c>
      <c r="C2" s="1320"/>
      <c r="D2" s="1320"/>
      <c r="E2" s="1319">
        <v>2020</v>
      </c>
      <c r="F2" s="1320"/>
      <c r="G2" s="1321"/>
      <c r="H2" s="1322">
        <v>2021</v>
      </c>
      <c r="I2" s="1320"/>
      <c r="J2" s="1321"/>
      <c r="K2" s="1319">
        <v>2022</v>
      </c>
      <c r="L2" s="1272"/>
      <c r="M2" s="1322">
        <v>2019</v>
      </c>
      <c r="N2" s="1320"/>
      <c r="O2" s="1320"/>
      <c r="P2" s="1319">
        <v>2020</v>
      </c>
      <c r="Q2" s="1320"/>
      <c r="R2" s="1321"/>
      <c r="S2" s="1322">
        <v>2021</v>
      </c>
      <c r="T2" s="1320"/>
      <c r="U2" s="1320"/>
      <c r="V2" s="1319">
        <v>2022</v>
      </c>
      <c r="W2" s="1272"/>
      <c r="X2" s="1319">
        <v>2019</v>
      </c>
      <c r="Y2" s="1320"/>
      <c r="Z2" s="1320"/>
      <c r="AA2" s="1319">
        <v>2020</v>
      </c>
      <c r="AB2" s="1320"/>
      <c r="AC2" s="1321"/>
      <c r="AD2" s="1322">
        <v>2021</v>
      </c>
      <c r="AE2" s="1320"/>
      <c r="AF2" s="1320"/>
      <c r="AG2" s="1319">
        <v>2022</v>
      </c>
      <c r="AH2" s="1272"/>
      <c r="AI2" s="1319">
        <v>2019</v>
      </c>
      <c r="AJ2" s="1320"/>
      <c r="AK2" s="1321"/>
      <c r="AL2" s="1322">
        <v>2020</v>
      </c>
      <c r="AM2" s="1320"/>
      <c r="AN2" s="1321"/>
      <c r="AO2" s="1322">
        <v>2021</v>
      </c>
      <c r="AP2" s="1320"/>
      <c r="AQ2" s="1320"/>
      <c r="AR2" s="1319">
        <v>2022</v>
      </c>
      <c r="AS2" s="1272"/>
      <c r="AT2" s="1271">
        <v>2019</v>
      </c>
      <c r="AU2" s="1292"/>
      <c r="AV2" s="1271">
        <v>2020</v>
      </c>
      <c r="AW2" s="1293"/>
      <c r="AX2" s="1294">
        <v>2021</v>
      </c>
      <c r="AY2" s="1293"/>
      <c r="AZ2" s="1271">
        <v>2022</v>
      </c>
      <c r="BA2" s="1272"/>
      <c r="BB2" s="1348">
        <v>2019</v>
      </c>
      <c r="BC2" s="1349"/>
      <c r="BD2" s="1349"/>
      <c r="BE2" s="1348">
        <v>2020</v>
      </c>
      <c r="BF2" s="1349"/>
      <c r="BG2" s="1350"/>
      <c r="BH2" s="1351">
        <v>2021</v>
      </c>
      <c r="BI2" s="1351"/>
      <c r="BJ2" s="1351"/>
      <c r="BK2" s="1348">
        <v>2022</v>
      </c>
      <c r="BL2" s="1353"/>
      <c r="BM2" s="1252">
        <v>2019</v>
      </c>
      <c r="BN2" s="1253"/>
      <c r="BO2" s="1253"/>
      <c r="BP2" s="1252">
        <v>2020</v>
      </c>
      <c r="BQ2" s="1253"/>
      <c r="BR2" s="1254"/>
      <c r="BS2" s="1252">
        <v>2021</v>
      </c>
      <c r="BT2" s="1253"/>
      <c r="BU2" s="1254"/>
      <c r="BV2" s="1269">
        <v>2022</v>
      </c>
      <c r="BW2" s="1272"/>
    </row>
    <row r="3" spans="1:75" ht="30">
      <c r="A3" s="1255"/>
      <c r="B3" s="1" t="s">
        <v>1</v>
      </c>
      <c r="C3" s="2" t="s">
        <v>2</v>
      </c>
      <c r="D3" s="2" t="s">
        <v>3</v>
      </c>
      <c r="E3" s="1" t="s">
        <v>1</v>
      </c>
      <c r="F3" s="2" t="s">
        <v>2</v>
      </c>
      <c r="G3" s="3" t="s">
        <v>3</v>
      </c>
      <c r="H3" s="2" t="s">
        <v>67</v>
      </c>
      <c r="I3" s="2" t="s">
        <v>2</v>
      </c>
      <c r="J3" s="3" t="s">
        <v>3</v>
      </c>
      <c r="K3" s="1" t="s">
        <v>1</v>
      </c>
      <c r="L3" s="3" t="s">
        <v>3</v>
      </c>
      <c r="M3" s="2" t="s">
        <v>1</v>
      </c>
      <c r="N3" s="2" t="s">
        <v>2</v>
      </c>
      <c r="O3" s="2" t="s">
        <v>3</v>
      </c>
      <c r="P3" s="1" t="s">
        <v>1</v>
      </c>
      <c r="Q3" s="2" t="s">
        <v>2</v>
      </c>
      <c r="R3" s="3" t="s">
        <v>3</v>
      </c>
      <c r="S3" s="2" t="s">
        <v>54</v>
      </c>
      <c r="T3" s="2" t="s">
        <v>2</v>
      </c>
      <c r="U3" s="2" t="s">
        <v>3</v>
      </c>
      <c r="V3" s="1" t="s">
        <v>1</v>
      </c>
      <c r="W3" s="3" t="s">
        <v>3</v>
      </c>
      <c r="X3" s="1" t="s">
        <v>1</v>
      </c>
      <c r="Y3" s="2" t="s">
        <v>2</v>
      </c>
      <c r="Z3" s="2" t="s">
        <v>3</v>
      </c>
      <c r="AA3" s="1" t="s">
        <v>1</v>
      </c>
      <c r="AB3" s="2" t="s">
        <v>2</v>
      </c>
      <c r="AC3" s="3" t="s">
        <v>3</v>
      </c>
      <c r="AD3" s="2" t="s">
        <v>54</v>
      </c>
      <c r="AE3" s="2" t="s">
        <v>2</v>
      </c>
      <c r="AF3" s="2" t="s">
        <v>3</v>
      </c>
      <c r="AG3" s="1" t="s">
        <v>1</v>
      </c>
      <c r="AH3" s="3" t="s">
        <v>3</v>
      </c>
      <c r="AI3" s="1" t="s">
        <v>1</v>
      </c>
      <c r="AJ3" s="2" t="s">
        <v>2</v>
      </c>
      <c r="AK3" s="3" t="s">
        <v>3</v>
      </c>
      <c r="AL3" s="2" t="s">
        <v>1</v>
      </c>
      <c r="AM3" s="2" t="s">
        <v>2</v>
      </c>
      <c r="AN3" s="3" t="s">
        <v>3</v>
      </c>
      <c r="AO3" s="2" t="s">
        <v>54</v>
      </c>
      <c r="AP3" s="2" t="s">
        <v>2</v>
      </c>
      <c r="AQ3" s="2" t="s">
        <v>3</v>
      </c>
      <c r="AR3" s="1" t="s">
        <v>1</v>
      </c>
      <c r="AS3" s="3" t="s">
        <v>3</v>
      </c>
      <c r="AT3" s="1" t="s">
        <v>2</v>
      </c>
      <c r="AU3" s="2" t="s">
        <v>3</v>
      </c>
      <c r="AV3" s="1" t="s">
        <v>2</v>
      </c>
      <c r="AW3" s="3" t="s">
        <v>3</v>
      </c>
      <c r="AX3" s="2" t="s">
        <v>2</v>
      </c>
      <c r="AY3" s="3" t="s">
        <v>3</v>
      </c>
      <c r="AZ3" s="60" t="s">
        <v>1</v>
      </c>
      <c r="BA3" s="60" t="s">
        <v>3</v>
      </c>
      <c r="BB3" s="56" t="s">
        <v>1</v>
      </c>
      <c r="BC3" s="57" t="s">
        <v>2</v>
      </c>
      <c r="BD3" s="57" t="s">
        <v>3</v>
      </c>
      <c r="BE3" s="56" t="s">
        <v>1</v>
      </c>
      <c r="BF3" s="57" t="s">
        <v>2</v>
      </c>
      <c r="BG3" s="58" t="s">
        <v>3</v>
      </c>
      <c r="BH3" s="57" t="s">
        <v>54</v>
      </c>
      <c r="BI3" s="57" t="s">
        <v>2</v>
      </c>
      <c r="BJ3" s="57" t="s">
        <v>3</v>
      </c>
      <c r="BK3" s="56" t="s">
        <v>1</v>
      </c>
      <c r="BL3" s="58" t="s">
        <v>3</v>
      </c>
      <c r="BM3" s="7" t="s">
        <v>6</v>
      </c>
      <c r="BN3" s="8" t="s">
        <v>7</v>
      </c>
      <c r="BO3" s="8" t="s">
        <v>3</v>
      </c>
      <c r="BP3" s="7" t="s">
        <v>6</v>
      </c>
      <c r="BQ3" s="8" t="s">
        <v>7</v>
      </c>
      <c r="BR3" s="9" t="s">
        <v>3</v>
      </c>
      <c r="BS3" s="7" t="s">
        <v>6</v>
      </c>
      <c r="BT3" s="8" t="s">
        <v>7</v>
      </c>
      <c r="BU3" s="9" t="s">
        <v>3</v>
      </c>
      <c r="BV3" s="367" t="s">
        <v>6</v>
      </c>
      <c r="BW3" s="368" t="s">
        <v>3</v>
      </c>
    </row>
    <row r="4" spans="1:75">
      <c r="A4" s="17" t="s">
        <v>35</v>
      </c>
      <c r="B4" s="115">
        <v>98</v>
      </c>
      <c r="C4" s="1284">
        <v>150</v>
      </c>
      <c r="D4" s="1286">
        <v>973.05</v>
      </c>
      <c r="E4" s="115">
        <v>120</v>
      </c>
      <c r="F4" s="1284" t="s">
        <v>98</v>
      </c>
      <c r="G4" s="1286" t="s">
        <v>99</v>
      </c>
      <c r="H4" s="116">
        <v>20</v>
      </c>
      <c r="I4" s="1337">
        <v>197</v>
      </c>
      <c r="J4" s="1340">
        <v>1391</v>
      </c>
      <c r="K4" s="1375">
        <v>180</v>
      </c>
      <c r="L4" s="1377">
        <v>1376.3989999999999</v>
      </c>
      <c r="M4" s="116">
        <v>248</v>
      </c>
      <c r="N4" s="1284">
        <v>413</v>
      </c>
      <c r="O4" s="1286">
        <v>2331</v>
      </c>
      <c r="P4" s="115">
        <v>225</v>
      </c>
      <c r="Q4" s="1284">
        <v>407</v>
      </c>
      <c r="R4" s="1286">
        <v>2320</v>
      </c>
      <c r="S4" s="116">
        <v>214</v>
      </c>
      <c r="T4" s="1337">
        <v>251</v>
      </c>
      <c r="U4" s="1340">
        <v>1892</v>
      </c>
      <c r="V4" s="1375">
        <v>314</v>
      </c>
      <c r="W4" s="1377">
        <v>2330.7260000000001</v>
      </c>
      <c r="X4" s="115">
        <v>627</v>
      </c>
      <c r="Y4" s="1284">
        <v>1027</v>
      </c>
      <c r="Z4" s="1286">
        <v>5105</v>
      </c>
      <c r="AA4" s="115">
        <v>621</v>
      </c>
      <c r="AB4" s="1284">
        <v>1083</v>
      </c>
      <c r="AC4" s="1286">
        <v>5399</v>
      </c>
      <c r="AD4" s="116">
        <v>648</v>
      </c>
      <c r="AE4" s="1337">
        <v>1083</v>
      </c>
      <c r="AF4" s="1340">
        <v>5399</v>
      </c>
      <c r="AG4" s="1341">
        <v>1019</v>
      </c>
      <c r="AH4" s="1340">
        <v>5958.1490000000003</v>
      </c>
      <c r="AI4" s="115">
        <v>817</v>
      </c>
      <c r="AJ4" s="1284">
        <v>1455</v>
      </c>
      <c r="AK4" s="1286">
        <v>7710</v>
      </c>
      <c r="AL4" s="116">
        <v>931</v>
      </c>
      <c r="AM4" s="1284">
        <v>1639</v>
      </c>
      <c r="AN4" s="1286">
        <v>8611</v>
      </c>
      <c r="AO4" s="116">
        <v>883</v>
      </c>
      <c r="AP4" s="1337">
        <v>1783</v>
      </c>
      <c r="AQ4" s="1340">
        <v>10587</v>
      </c>
      <c r="AR4" s="1341">
        <v>1763</v>
      </c>
      <c r="AS4" s="1340">
        <v>10843.14</v>
      </c>
      <c r="AT4" s="1341">
        <v>259417</v>
      </c>
      <c r="AU4" s="1340">
        <v>591551</v>
      </c>
      <c r="AV4" s="1288">
        <v>245272</v>
      </c>
      <c r="AW4" s="1286">
        <v>530608</v>
      </c>
      <c r="AX4" s="1288">
        <v>292222</v>
      </c>
      <c r="AY4" s="1286">
        <v>621997</v>
      </c>
      <c r="AZ4" s="1288">
        <v>251667</v>
      </c>
      <c r="BA4" s="1286">
        <v>904307</v>
      </c>
      <c r="BB4" s="116">
        <v>651</v>
      </c>
      <c r="BC4" s="1284">
        <v>4309</v>
      </c>
      <c r="BD4" s="1286">
        <v>7512</v>
      </c>
      <c r="BE4" s="115">
        <v>653</v>
      </c>
      <c r="BF4" s="1284">
        <v>6143</v>
      </c>
      <c r="BG4" s="1286">
        <v>8651</v>
      </c>
      <c r="BH4" s="116">
        <v>663</v>
      </c>
      <c r="BI4" s="1337">
        <v>6798.26</v>
      </c>
      <c r="BJ4" s="1340">
        <v>7365.1490000000003</v>
      </c>
      <c r="BK4" s="1341">
        <f>567.41+8701.52</f>
        <v>9268.93</v>
      </c>
      <c r="BL4" s="1340">
        <f>571.458+9079.973</f>
        <v>9651.4310000000005</v>
      </c>
      <c r="BM4" s="118">
        <v>71</v>
      </c>
      <c r="BN4" s="1245">
        <v>798</v>
      </c>
      <c r="BO4" s="1247">
        <v>112062</v>
      </c>
      <c r="BP4" s="118">
        <v>73</v>
      </c>
      <c r="BQ4" s="1245">
        <v>659</v>
      </c>
      <c r="BR4" s="1247">
        <v>98770</v>
      </c>
      <c r="BS4" s="118">
        <v>65</v>
      </c>
      <c r="BT4" s="1245">
        <f>562+32</f>
        <v>594</v>
      </c>
      <c r="BU4" s="1247">
        <f>58661+3352.448</f>
        <v>62013.447999999997</v>
      </c>
      <c r="BV4" s="1354">
        <v>671</v>
      </c>
      <c r="BW4" s="1357">
        <v>75455.850000000006</v>
      </c>
    </row>
    <row r="5" spans="1:75">
      <c r="A5" s="18" t="s">
        <v>36</v>
      </c>
      <c r="B5" s="120">
        <v>60</v>
      </c>
      <c r="C5" s="1274"/>
      <c r="D5" s="1275"/>
      <c r="E5" s="120">
        <v>90</v>
      </c>
      <c r="F5" s="1274"/>
      <c r="G5" s="1275"/>
      <c r="H5" s="121">
        <v>137</v>
      </c>
      <c r="I5" s="1364"/>
      <c r="J5" s="1317"/>
      <c r="K5" s="1376"/>
      <c r="L5" s="1378"/>
      <c r="M5" s="121">
        <v>190</v>
      </c>
      <c r="N5" s="1274"/>
      <c r="O5" s="1275"/>
      <c r="P5" s="120">
        <v>204</v>
      </c>
      <c r="Q5" s="1274"/>
      <c r="R5" s="1275"/>
      <c r="S5" s="121">
        <v>95</v>
      </c>
      <c r="T5" s="1364"/>
      <c r="U5" s="1317"/>
      <c r="V5" s="1376"/>
      <c r="W5" s="1378"/>
      <c r="X5" s="120">
        <v>476</v>
      </c>
      <c r="Y5" s="1274"/>
      <c r="Z5" s="1275"/>
      <c r="AA5" s="120">
        <v>492</v>
      </c>
      <c r="AB5" s="1274"/>
      <c r="AC5" s="1275"/>
      <c r="AD5" s="121">
        <v>222</v>
      </c>
      <c r="AE5" s="1364"/>
      <c r="AF5" s="1317"/>
      <c r="AG5" s="1289"/>
      <c r="AH5" s="1317"/>
      <c r="AI5" s="120">
        <v>727</v>
      </c>
      <c r="AJ5" s="1274"/>
      <c r="AK5" s="1275"/>
      <c r="AL5" s="121">
        <v>815</v>
      </c>
      <c r="AM5" s="1274"/>
      <c r="AN5" s="1275"/>
      <c r="AO5" s="121">
        <v>752</v>
      </c>
      <c r="AP5" s="1364"/>
      <c r="AQ5" s="1317"/>
      <c r="AR5" s="1289"/>
      <c r="AS5" s="1317"/>
      <c r="AT5" s="1289"/>
      <c r="AU5" s="1317"/>
      <c r="AV5" s="1313"/>
      <c r="AW5" s="1275"/>
      <c r="AX5" s="1313"/>
      <c r="AY5" s="1275"/>
      <c r="AZ5" s="1289"/>
      <c r="BA5" s="1317"/>
      <c r="BB5" s="121">
        <v>615</v>
      </c>
      <c r="BC5" s="1274"/>
      <c r="BD5" s="1275"/>
      <c r="BE5" s="120">
        <v>712</v>
      </c>
      <c r="BF5" s="1274"/>
      <c r="BG5" s="1275"/>
      <c r="BH5" s="121">
        <v>213</v>
      </c>
      <c r="BI5" s="1338"/>
      <c r="BJ5" s="1306"/>
      <c r="BK5" s="1304"/>
      <c r="BL5" s="1306"/>
      <c r="BM5" s="123">
        <v>65</v>
      </c>
      <c r="BN5" s="1246">
        <v>61</v>
      </c>
      <c r="BO5" s="1243"/>
      <c r="BP5" s="123">
        <v>66</v>
      </c>
      <c r="BQ5" s="1246">
        <v>53</v>
      </c>
      <c r="BR5" s="1243">
        <v>7871</v>
      </c>
      <c r="BS5" s="123">
        <v>28</v>
      </c>
      <c r="BT5" s="1246">
        <v>45</v>
      </c>
      <c r="BU5" s="1243">
        <v>4733</v>
      </c>
      <c r="BV5" s="1289"/>
      <c r="BW5" s="1317"/>
    </row>
    <row r="6" spans="1:75">
      <c r="A6" s="18" t="s">
        <v>37</v>
      </c>
      <c r="B6" s="120">
        <v>49</v>
      </c>
      <c r="C6" s="1274">
        <v>746</v>
      </c>
      <c r="D6" s="1275">
        <v>4947.2299999999996</v>
      </c>
      <c r="E6" s="120">
        <v>45</v>
      </c>
      <c r="F6" s="1274" t="s">
        <v>97</v>
      </c>
      <c r="G6" s="1275" t="s">
        <v>96</v>
      </c>
      <c r="H6" s="121">
        <v>9.5</v>
      </c>
      <c r="I6" s="1365">
        <v>732</v>
      </c>
      <c r="J6" s="1367">
        <v>5404.42</v>
      </c>
      <c r="K6" s="1374">
        <v>974</v>
      </c>
      <c r="L6" s="1367">
        <v>6984</v>
      </c>
      <c r="M6" s="121">
        <v>183</v>
      </c>
      <c r="N6" s="1274">
        <v>1660</v>
      </c>
      <c r="O6" s="1275">
        <v>9981.73</v>
      </c>
      <c r="P6" s="120">
        <v>117</v>
      </c>
      <c r="Q6" s="1274">
        <v>1360</v>
      </c>
      <c r="R6" s="1275">
        <v>8734</v>
      </c>
      <c r="S6" s="121">
        <v>30</v>
      </c>
      <c r="T6" s="1365">
        <v>1277</v>
      </c>
      <c r="U6" s="1367">
        <v>9152.3070000000007</v>
      </c>
      <c r="V6" s="1374">
        <v>1394</v>
      </c>
      <c r="W6" s="1367">
        <v>10335</v>
      </c>
      <c r="X6" s="120">
        <v>559</v>
      </c>
      <c r="Y6" s="1274">
        <v>4461</v>
      </c>
      <c r="Z6" s="1275">
        <v>22636.83</v>
      </c>
      <c r="AA6" s="120">
        <v>298</v>
      </c>
      <c r="AB6" s="1274">
        <v>3227</v>
      </c>
      <c r="AC6" s="1275">
        <v>17236</v>
      </c>
      <c r="AD6" s="121">
        <v>91</v>
      </c>
      <c r="AE6" s="1365">
        <v>4148</v>
      </c>
      <c r="AF6" s="1367">
        <v>23741.86</v>
      </c>
      <c r="AG6" s="1368"/>
      <c r="AH6" s="1371"/>
      <c r="AI6" s="120">
        <v>762</v>
      </c>
      <c r="AJ6" s="1274">
        <v>7306</v>
      </c>
      <c r="AK6" s="1275">
        <v>39074</v>
      </c>
      <c r="AL6" s="121">
        <v>750</v>
      </c>
      <c r="AM6" s="1274">
        <v>7140</v>
      </c>
      <c r="AN6" s="1275">
        <v>38761</v>
      </c>
      <c r="AO6" s="121">
        <v>716</v>
      </c>
      <c r="AP6" s="1365">
        <v>7175</v>
      </c>
      <c r="AQ6" s="1367">
        <v>43049.53</v>
      </c>
      <c r="AR6" s="1374">
        <v>6596</v>
      </c>
      <c r="AS6" s="1367">
        <v>41153</v>
      </c>
      <c r="AT6" s="1289"/>
      <c r="AU6" s="1317"/>
      <c r="AV6" s="1313"/>
      <c r="AW6" s="1275"/>
      <c r="AX6" s="1313"/>
      <c r="AY6" s="1275"/>
      <c r="AZ6" s="1289"/>
      <c r="BA6" s="1317"/>
      <c r="BB6" s="121">
        <v>762</v>
      </c>
      <c r="BC6" s="1274"/>
      <c r="BD6" s="1275"/>
      <c r="BE6" s="120">
        <v>495</v>
      </c>
      <c r="BF6" s="1274"/>
      <c r="BG6" s="1275"/>
      <c r="BH6" s="121">
        <v>182</v>
      </c>
      <c r="BI6" s="1338"/>
      <c r="BJ6" s="1306"/>
      <c r="BK6" s="1304"/>
      <c r="BL6" s="1306"/>
      <c r="BM6" s="123">
        <v>87</v>
      </c>
      <c r="BN6" s="1246">
        <v>68</v>
      </c>
      <c r="BO6" s="1243"/>
      <c r="BP6" s="123">
        <v>49</v>
      </c>
      <c r="BQ6" s="1246">
        <v>56</v>
      </c>
      <c r="BR6" s="1243">
        <v>8414</v>
      </c>
      <c r="BS6" s="123">
        <v>18</v>
      </c>
      <c r="BT6" s="1246">
        <v>50</v>
      </c>
      <c r="BU6" s="1243">
        <v>5241</v>
      </c>
      <c r="BV6" s="1289"/>
      <c r="BW6" s="1317"/>
    </row>
    <row r="7" spans="1:75">
      <c r="A7" s="18" t="s">
        <v>38</v>
      </c>
      <c r="B7" s="120">
        <v>37</v>
      </c>
      <c r="C7" s="1274"/>
      <c r="D7" s="1275"/>
      <c r="E7" s="120">
        <v>3.01</v>
      </c>
      <c r="F7" s="1274"/>
      <c r="G7" s="1275"/>
      <c r="H7" s="121">
        <v>41</v>
      </c>
      <c r="I7" s="1364"/>
      <c r="J7" s="1317"/>
      <c r="K7" s="1289"/>
      <c r="L7" s="1317"/>
      <c r="M7" s="121">
        <v>172</v>
      </c>
      <c r="N7" s="1274"/>
      <c r="O7" s="1275"/>
      <c r="P7" s="120">
        <v>16</v>
      </c>
      <c r="Q7" s="1274"/>
      <c r="R7" s="1275"/>
      <c r="S7" s="121">
        <v>84</v>
      </c>
      <c r="T7" s="1364"/>
      <c r="U7" s="1317"/>
      <c r="V7" s="1289"/>
      <c r="W7" s="1317"/>
      <c r="X7" s="120">
        <v>468</v>
      </c>
      <c r="Y7" s="1274"/>
      <c r="Z7" s="1275"/>
      <c r="AA7" s="120">
        <v>54</v>
      </c>
      <c r="AB7" s="1274"/>
      <c r="AC7" s="1275"/>
      <c r="AD7" s="121">
        <v>271</v>
      </c>
      <c r="AE7" s="1364"/>
      <c r="AF7" s="1317"/>
      <c r="AG7" s="1369"/>
      <c r="AH7" s="1372"/>
      <c r="AI7" s="120">
        <v>772</v>
      </c>
      <c r="AJ7" s="1274"/>
      <c r="AK7" s="1275"/>
      <c r="AL7" s="121">
        <v>409</v>
      </c>
      <c r="AM7" s="1274"/>
      <c r="AN7" s="1275"/>
      <c r="AO7" s="121">
        <v>761</v>
      </c>
      <c r="AP7" s="1364"/>
      <c r="AQ7" s="1317"/>
      <c r="AR7" s="1289"/>
      <c r="AS7" s="1317"/>
      <c r="AT7" s="1289"/>
      <c r="AU7" s="1317"/>
      <c r="AV7" s="1313"/>
      <c r="AW7" s="1275"/>
      <c r="AX7" s="1313"/>
      <c r="AY7" s="1275"/>
      <c r="AZ7" s="1289"/>
      <c r="BA7" s="1317"/>
      <c r="BB7" s="121">
        <v>698</v>
      </c>
      <c r="BC7" s="1274"/>
      <c r="BD7" s="1275"/>
      <c r="BE7" s="120">
        <v>62</v>
      </c>
      <c r="BF7" s="1274"/>
      <c r="BG7" s="1275"/>
      <c r="BH7" s="121">
        <v>469</v>
      </c>
      <c r="BI7" s="1338"/>
      <c r="BJ7" s="1306"/>
      <c r="BK7" s="1304"/>
      <c r="BL7" s="1306"/>
      <c r="BM7" s="123">
        <v>73</v>
      </c>
      <c r="BN7" s="1246">
        <v>66</v>
      </c>
      <c r="BO7" s="1243"/>
      <c r="BP7" s="123">
        <v>12</v>
      </c>
      <c r="BQ7" s="1246">
        <v>54</v>
      </c>
      <c r="BR7" s="1243">
        <v>8142</v>
      </c>
      <c r="BS7" s="123">
        <v>37</v>
      </c>
      <c r="BT7" s="1246">
        <v>49</v>
      </c>
      <c r="BU7" s="1243">
        <v>5072</v>
      </c>
      <c r="BV7" s="1289"/>
      <c r="BW7" s="1317"/>
    </row>
    <row r="8" spans="1:75">
      <c r="A8" s="18" t="s">
        <v>39</v>
      </c>
      <c r="B8" s="120">
        <v>45</v>
      </c>
      <c r="C8" s="1274"/>
      <c r="D8" s="1275"/>
      <c r="E8" s="120">
        <v>4.2</v>
      </c>
      <c r="F8" s="1274"/>
      <c r="G8" s="1275"/>
      <c r="H8" s="121">
        <v>59</v>
      </c>
      <c r="I8" s="1364"/>
      <c r="J8" s="1317"/>
      <c r="K8" s="1289"/>
      <c r="L8" s="1317"/>
      <c r="M8" s="121">
        <v>174</v>
      </c>
      <c r="N8" s="1274"/>
      <c r="O8" s="1275"/>
      <c r="P8" s="120">
        <v>135</v>
      </c>
      <c r="Q8" s="1274"/>
      <c r="R8" s="1275"/>
      <c r="S8" s="121">
        <v>156</v>
      </c>
      <c r="T8" s="1364"/>
      <c r="U8" s="1317"/>
      <c r="V8" s="1289"/>
      <c r="W8" s="1317"/>
      <c r="X8" s="120">
        <v>471</v>
      </c>
      <c r="Y8" s="1274"/>
      <c r="Z8" s="1275"/>
      <c r="AA8" s="120">
        <v>184</v>
      </c>
      <c r="AB8" s="1274"/>
      <c r="AC8" s="1275"/>
      <c r="AD8" s="121">
        <v>543</v>
      </c>
      <c r="AE8" s="1364"/>
      <c r="AF8" s="1317"/>
      <c r="AG8" s="1369"/>
      <c r="AH8" s="1372"/>
      <c r="AI8" s="120">
        <v>773</v>
      </c>
      <c r="AJ8" s="1274"/>
      <c r="AK8" s="1275"/>
      <c r="AL8" s="121">
        <v>633</v>
      </c>
      <c r="AM8" s="1274"/>
      <c r="AN8" s="1275"/>
      <c r="AO8" s="121">
        <v>857</v>
      </c>
      <c r="AP8" s="1364"/>
      <c r="AQ8" s="1317"/>
      <c r="AR8" s="1289"/>
      <c r="AS8" s="1317"/>
      <c r="AT8" s="1289"/>
      <c r="AU8" s="1317"/>
      <c r="AV8" s="1313"/>
      <c r="AW8" s="1275"/>
      <c r="AX8" s="1313"/>
      <c r="AY8" s="1275"/>
      <c r="AZ8" s="1289"/>
      <c r="BA8" s="1317"/>
      <c r="BB8" s="121">
        <v>735</v>
      </c>
      <c r="BC8" s="1274"/>
      <c r="BD8" s="1275"/>
      <c r="BE8" s="120">
        <v>460</v>
      </c>
      <c r="BF8" s="1274"/>
      <c r="BG8" s="1275"/>
      <c r="BH8" s="121">
        <v>718</v>
      </c>
      <c r="BI8" s="1338"/>
      <c r="BJ8" s="1306"/>
      <c r="BK8" s="1304"/>
      <c r="BL8" s="1306"/>
      <c r="BM8" s="123">
        <v>80</v>
      </c>
      <c r="BN8" s="1246">
        <v>68</v>
      </c>
      <c r="BO8" s="1243"/>
      <c r="BP8" s="123">
        <v>42</v>
      </c>
      <c r="BQ8" s="1246">
        <v>56</v>
      </c>
      <c r="BR8" s="1243">
        <v>8414</v>
      </c>
      <c r="BS8" s="123">
        <v>69</v>
      </c>
      <c r="BT8" s="1246">
        <v>50</v>
      </c>
      <c r="BU8" s="1243">
        <v>5241</v>
      </c>
      <c r="BV8" s="1289"/>
      <c r="BW8" s="1317"/>
    </row>
    <row r="9" spans="1:75">
      <c r="A9" s="18" t="s">
        <v>40</v>
      </c>
      <c r="B9" s="120">
        <v>36</v>
      </c>
      <c r="C9" s="1274"/>
      <c r="D9" s="1275"/>
      <c r="E9" s="120">
        <v>15</v>
      </c>
      <c r="F9" s="1274"/>
      <c r="G9" s="1275"/>
      <c r="H9" s="121">
        <v>52</v>
      </c>
      <c r="I9" s="1364"/>
      <c r="J9" s="1317"/>
      <c r="K9" s="1289"/>
      <c r="L9" s="1317"/>
      <c r="M9" s="121">
        <v>136</v>
      </c>
      <c r="N9" s="1274"/>
      <c r="O9" s="1275"/>
      <c r="P9" s="120">
        <v>168</v>
      </c>
      <c r="Q9" s="1274"/>
      <c r="R9" s="1275"/>
      <c r="S9" s="121">
        <v>149</v>
      </c>
      <c r="T9" s="1364"/>
      <c r="U9" s="1317"/>
      <c r="V9" s="1289"/>
      <c r="W9" s="1317"/>
      <c r="X9" s="120">
        <v>370</v>
      </c>
      <c r="Y9" s="1274"/>
      <c r="Z9" s="1275"/>
      <c r="AA9" s="120">
        <v>427</v>
      </c>
      <c r="AB9" s="1274"/>
      <c r="AC9" s="1275"/>
      <c r="AD9" s="121">
        <v>461</v>
      </c>
      <c r="AE9" s="1364"/>
      <c r="AF9" s="1317"/>
      <c r="AG9" s="1369"/>
      <c r="AH9" s="1372"/>
      <c r="AI9" s="120">
        <v>806</v>
      </c>
      <c r="AJ9" s="1274"/>
      <c r="AK9" s="1275"/>
      <c r="AL9" s="121">
        <v>893</v>
      </c>
      <c r="AM9" s="1274"/>
      <c r="AN9" s="1275"/>
      <c r="AO9" s="121">
        <v>855</v>
      </c>
      <c r="AP9" s="1364"/>
      <c r="AQ9" s="1317"/>
      <c r="AR9" s="1289"/>
      <c r="AS9" s="1317"/>
      <c r="AT9" s="1289"/>
      <c r="AU9" s="1317"/>
      <c r="AV9" s="1313"/>
      <c r="AW9" s="1275"/>
      <c r="AX9" s="1313"/>
      <c r="AY9" s="1275"/>
      <c r="AZ9" s="1289"/>
      <c r="BA9" s="1317"/>
      <c r="BB9" s="121">
        <v>741</v>
      </c>
      <c r="BC9" s="1274"/>
      <c r="BD9" s="1275"/>
      <c r="BE9" s="120">
        <v>695</v>
      </c>
      <c r="BF9" s="1274"/>
      <c r="BG9" s="1275"/>
      <c r="BH9" s="121">
        <v>813</v>
      </c>
      <c r="BI9" s="1338"/>
      <c r="BJ9" s="1306"/>
      <c r="BK9" s="1304"/>
      <c r="BL9" s="1306"/>
      <c r="BM9" s="123">
        <v>81</v>
      </c>
      <c r="BN9" s="1246">
        <v>66</v>
      </c>
      <c r="BO9" s="1243"/>
      <c r="BP9" s="123">
        <v>76</v>
      </c>
      <c r="BQ9" s="1246">
        <v>54</v>
      </c>
      <c r="BR9" s="1243">
        <v>8142</v>
      </c>
      <c r="BS9" s="123">
        <v>75</v>
      </c>
      <c r="BT9" s="1246">
        <v>49</v>
      </c>
      <c r="BU9" s="1243">
        <v>5072</v>
      </c>
      <c r="BV9" s="1289"/>
      <c r="BW9" s="1317"/>
    </row>
    <row r="10" spans="1:75">
      <c r="A10" s="18" t="s">
        <v>41</v>
      </c>
      <c r="B10" s="120">
        <v>54</v>
      </c>
      <c r="C10" s="1274"/>
      <c r="D10" s="1275"/>
      <c r="E10" s="120">
        <v>13</v>
      </c>
      <c r="F10" s="1274"/>
      <c r="G10" s="1275"/>
      <c r="H10" s="121">
        <v>18</v>
      </c>
      <c r="I10" s="1364"/>
      <c r="J10" s="1317"/>
      <c r="K10" s="1289"/>
      <c r="L10" s="1317"/>
      <c r="M10" s="121">
        <v>128</v>
      </c>
      <c r="N10" s="1274"/>
      <c r="O10" s="1275"/>
      <c r="P10" s="120">
        <v>19</v>
      </c>
      <c r="Q10" s="1274"/>
      <c r="R10" s="1275"/>
      <c r="S10" s="121">
        <v>65</v>
      </c>
      <c r="T10" s="1364"/>
      <c r="U10" s="1317"/>
      <c r="V10" s="1289"/>
      <c r="W10" s="1317"/>
      <c r="X10" s="120">
        <v>165</v>
      </c>
      <c r="Y10" s="1274"/>
      <c r="Z10" s="1275"/>
      <c r="AA10" s="120">
        <v>122</v>
      </c>
      <c r="AB10" s="1274"/>
      <c r="AC10" s="1275"/>
      <c r="AD10" s="121">
        <v>282</v>
      </c>
      <c r="AE10" s="1364"/>
      <c r="AF10" s="1317"/>
      <c r="AG10" s="1369"/>
      <c r="AH10" s="1372"/>
      <c r="AI10" s="120">
        <v>334</v>
      </c>
      <c r="AJ10" s="1274"/>
      <c r="AK10" s="1275"/>
      <c r="AL10" s="121">
        <v>223</v>
      </c>
      <c r="AM10" s="1274"/>
      <c r="AN10" s="1275"/>
      <c r="AO10" s="121">
        <v>725</v>
      </c>
      <c r="AP10" s="1364"/>
      <c r="AQ10" s="1317"/>
      <c r="AR10" s="1289"/>
      <c r="AS10" s="1317"/>
      <c r="AT10" s="1289"/>
      <c r="AU10" s="1317"/>
      <c r="AV10" s="1313"/>
      <c r="AW10" s="1275"/>
      <c r="AX10" s="1313"/>
      <c r="AY10" s="1275"/>
      <c r="AZ10" s="1289"/>
      <c r="BA10" s="1317"/>
      <c r="BB10" s="393"/>
      <c r="BC10" s="1274">
        <v>3739.66</v>
      </c>
      <c r="BD10" s="1275">
        <v>4660</v>
      </c>
      <c r="BE10" s="120">
        <v>17</v>
      </c>
      <c r="BF10" s="1274"/>
      <c r="BG10" s="1275"/>
      <c r="BH10" s="121">
        <v>495</v>
      </c>
      <c r="BI10" s="1338"/>
      <c r="BJ10" s="1306"/>
      <c r="BK10" s="1304"/>
      <c r="BL10" s="1306"/>
      <c r="BM10" s="123">
        <v>37</v>
      </c>
      <c r="BN10" s="1246">
        <v>68</v>
      </c>
      <c r="BO10" s="1243"/>
      <c r="BP10" s="123">
        <v>18</v>
      </c>
      <c r="BQ10" s="1246">
        <v>56</v>
      </c>
      <c r="BR10" s="1243">
        <v>8414</v>
      </c>
      <c r="BS10" s="123">
        <v>42</v>
      </c>
      <c r="BT10" s="1246">
        <v>50</v>
      </c>
      <c r="BU10" s="1243">
        <v>5241</v>
      </c>
      <c r="BV10" s="1289"/>
      <c r="BW10" s="1317"/>
    </row>
    <row r="11" spans="1:75">
      <c r="A11" s="18" t="s">
        <v>42</v>
      </c>
      <c r="B11" s="120">
        <v>48</v>
      </c>
      <c r="C11" s="1274"/>
      <c r="D11" s="1275"/>
      <c r="E11" s="120">
        <v>17</v>
      </c>
      <c r="F11" s="1274"/>
      <c r="G11" s="1275"/>
      <c r="H11" s="121">
        <v>44</v>
      </c>
      <c r="I11" s="1364"/>
      <c r="J11" s="1317"/>
      <c r="K11" s="1289"/>
      <c r="L11" s="1317"/>
      <c r="M11" s="121">
        <v>33</v>
      </c>
      <c r="N11" s="1274"/>
      <c r="O11" s="1275"/>
      <c r="P11" s="120">
        <v>126</v>
      </c>
      <c r="Q11" s="1274"/>
      <c r="R11" s="1275"/>
      <c r="S11" s="121">
        <v>37</v>
      </c>
      <c r="T11" s="1364"/>
      <c r="U11" s="1317"/>
      <c r="V11" s="1289"/>
      <c r="W11" s="1317"/>
      <c r="X11" s="120">
        <v>94</v>
      </c>
      <c r="Y11" s="1274"/>
      <c r="Z11" s="1275"/>
      <c r="AA11" s="120">
        <v>175</v>
      </c>
      <c r="AB11" s="1274"/>
      <c r="AC11" s="1275"/>
      <c r="AD11" s="121">
        <v>129</v>
      </c>
      <c r="AE11" s="1364"/>
      <c r="AF11" s="1317"/>
      <c r="AG11" s="1369"/>
      <c r="AH11" s="1372"/>
      <c r="AI11" s="120">
        <v>423</v>
      </c>
      <c r="AJ11" s="1274"/>
      <c r="AK11" s="1275"/>
      <c r="AL11" s="121">
        <v>770</v>
      </c>
      <c r="AM11" s="1274"/>
      <c r="AN11" s="1275"/>
      <c r="AO11" s="121">
        <v>285</v>
      </c>
      <c r="AP11" s="1364"/>
      <c r="AQ11" s="1317"/>
      <c r="AR11" s="1289"/>
      <c r="AS11" s="1317"/>
      <c r="AT11" s="1289"/>
      <c r="AU11" s="1317"/>
      <c r="AV11" s="1313"/>
      <c r="AW11" s="1275"/>
      <c r="AX11" s="1313"/>
      <c r="AY11" s="1275"/>
      <c r="AZ11" s="1289"/>
      <c r="BA11" s="1317"/>
      <c r="BB11" s="121">
        <v>12</v>
      </c>
      <c r="BC11" s="1274"/>
      <c r="BD11" s="1275"/>
      <c r="BE11" s="120">
        <v>479</v>
      </c>
      <c r="BF11" s="1274"/>
      <c r="BG11" s="1275"/>
      <c r="BH11" s="121">
        <v>38</v>
      </c>
      <c r="BI11" s="1338"/>
      <c r="BJ11" s="1306"/>
      <c r="BK11" s="1304"/>
      <c r="BL11" s="1306"/>
      <c r="BM11" s="123">
        <v>23</v>
      </c>
      <c r="BN11" s="1246">
        <v>68</v>
      </c>
      <c r="BO11" s="1243"/>
      <c r="BP11" s="123">
        <v>48</v>
      </c>
      <c r="BQ11" s="1246">
        <v>56</v>
      </c>
      <c r="BR11" s="1243">
        <v>8414</v>
      </c>
      <c r="BS11" s="123">
        <v>14</v>
      </c>
      <c r="BT11" s="1246">
        <v>50</v>
      </c>
      <c r="BU11" s="1243">
        <v>5241</v>
      </c>
      <c r="BV11" s="1289"/>
      <c r="BW11" s="1317"/>
    </row>
    <row r="12" spans="1:75">
      <c r="A12" s="18" t="s">
        <v>43</v>
      </c>
      <c r="B12" s="120">
        <v>76</v>
      </c>
      <c r="C12" s="1274"/>
      <c r="D12" s="1275"/>
      <c r="E12" s="120">
        <v>86</v>
      </c>
      <c r="F12" s="1274"/>
      <c r="G12" s="1275"/>
      <c r="H12" s="121">
        <v>94</v>
      </c>
      <c r="I12" s="1364"/>
      <c r="J12" s="1317"/>
      <c r="K12" s="1289"/>
      <c r="L12" s="1317"/>
      <c r="M12" s="121">
        <v>193</v>
      </c>
      <c r="N12" s="1274"/>
      <c r="O12" s="1275"/>
      <c r="P12" s="120">
        <v>179</v>
      </c>
      <c r="Q12" s="1274"/>
      <c r="R12" s="1275"/>
      <c r="S12" s="121">
        <v>168</v>
      </c>
      <c r="T12" s="1364"/>
      <c r="U12" s="1317"/>
      <c r="V12" s="1289"/>
      <c r="W12" s="1317"/>
      <c r="X12" s="120">
        <v>501</v>
      </c>
      <c r="Y12" s="1274"/>
      <c r="Z12" s="1275"/>
      <c r="AA12" s="120">
        <v>534</v>
      </c>
      <c r="AB12" s="1274"/>
      <c r="AC12" s="1275"/>
      <c r="AD12" s="121">
        <v>485</v>
      </c>
      <c r="AE12" s="1364"/>
      <c r="AF12" s="1317"/>
      <c r="AG12" s="1369"/>
      <c r="AH12" s="1372"/>
      <c r="AI12" s="120">
        <v>798</v>
      </c>
      <c r="AJ12" s="1274"/>
      <c r="AK12" s="1275"/>
      <c r="AL12" s="121">
        <v>798</v>
      </c>
      <c r="AM12" s="1274"/>
      <c r="AN12" s="1275"/>
      <c r="AO12" s="121">
        <v>806</v>
      </c>
      <c r="AP12" s="1364"/>
      <c r="AQ12" s="1317"/>
      <c r="AR12" s="1289"/>
      <c r="AS12" s="1317"/>
      <c r="AT12" s="1289"/>
      <c r="AU12" s="1317"/>
      <c r="AV12" s="1313"/>
      <c r="AW12" s="1275"/>
      <c r="AX12" s="1313"/>
      <c r="AY12" s="1275"/>
      <c r="AZ12" s="1289"/>
      <c r="BA12" s="1317"/>
      <c r="BB12" s="121">
        <v>726</v>
      </c>
      <c r="BC12" s="1274"/>
      <c r="BD12" s="1275"/>
      <c r="BE12" s="120">
        <v>717</v>
      </c>
      <c r="BF12" s="1274"/>
      <c r="BG12" s="1275"/>
      <c r="BH12" s="121">
        <v>661</v>
      </c>
      <c r="BI12" s="1338"/>
      <c r="BJ12" s="1306"/>
      <c r="BK12" s="1304"/>
      <c r="BL12" s="1306"/>
      <c r="BM12" s="123">
        <v>81</v>
      </c>
      <c r="BN12" s="1246">
        <v>66</v>
      </c>
      <c r="BO12" s="1243"/>
      <c r="BP12" s="123">
        <v>78</v>
      </c>
      <c r="BQ12" s="1246">
        <v>54</v>
      </c>
      <c r="BR12" s="1243">
        <v>8142</v>
      </c>
      <c r="BS12" s="123">
        <v>63</v>
      </c>
      <c r="BT12" s="1246">
        <v>49</v>
      </c>
      <c r="BU12" s="1243">
        <v>5072</v>
      </c>
      <c r="BV12" s="1289"/>
      <c r="BW12" s="1317"/>
    </row>
    <row r="13" spans="1:75">
      <c r="A13" s="18" t="s">
        <v>44</v>
      </c>
      <c r="B13" s="120">
        <v>116</v>
      </c>
      <c r="C13" s="1274"/>
      <c r="D13" s="1275"/>
      <c r="E13" s="120">
        <v>111</v>
      </c>
      <c r="F13" s="1274"/>
      <c r="G13" s="1275"/>
      <c r="H13" s="121">
        <v>102</v>
      </c>
      <c r="I13" s="1364"/>
      <c r="J13" s="1317"/>
      <c r="K13" s="1289"/>
      <c r="L13" s="1317"/>
      <c r="M13" s="121">
        <v>207</v>
      </c>
      <c r="N13" s="1274"/>
      <c r="O13" s="1275"/>
      <c r="P13" s="120">
        <v>216</v>
      </c>
      <c r="Q13" s="1274"/>
      <c r="R13" s="1275"/>
      <c r="S13" s="121">
        <v>180</v>
      </c>
      <c r="T13" s="1364"/>
      <c r="U13" s="1317"/>
      <c r="V13" s="1289"/>
      <c r="W13" s="1317"/>
      <c r="X13" s="120">
        <v>583</v>
      </c>
      <c r="Y13" s="1274"/>
      <c r="Z13" s="1275"/>
      <c r="AA13" s="120">
        <v>556</v>
      </c>
      <c r="AB13" s="1274"/>
      <c r="AC13" s="1275"/>
      <c r="AD13" s="121">
        <v>611</v>
      </c>
      <c r="AE13" s="1364"/>
      <c r="AF13" s="1317"/>
      <c r="AG13" s="1369"/>
      <c r="AH13" s="1372"/>
      <c r="AI13" s="120">
        <v>877</v>
      </c>
      <c r="AJ13" s="1274"/>
      <c r="AK13" s="1275"/>
      <c r="AL13" s="121">
        <v>893</v>
      </c>
      <c r="AM13" s="1274"/>
      <c r="AN13" s="1275"/>
      <c r="AO13" s="121">
        <v>859</v>
      </c>
      <c r="AP13" s="1364"/>
      <c r="AQ13" s="1317"/>
      <c r="AR13" s="1289"/>
      <c r="AS13" s="1317"/>
      <c r="AT13" s="1289"/>
      <c r="AU13" s="1317"/>
      <c r="AV13" s="1313"/>
      <c r="AW13" s="1275"/>
      <c r="AX13" s="1313"/>
      <c r="AY13" s="1275"/>
      <c r="AZ13" s="1289"/>
      <c r="BA13" s="1317"/>
      <c r="BB13" s="121">
        <v>809</v>
      </c>
      <c r="BC13" s="1274"/>
      <c r="BD13" s="1275"/>
      <c r="BE13" s="120">
        <v>778</v>
      </c>
      <c r="BF13" s="1274"/>
      <c r="BG13" s="1275"/>
      <c r="BH13" s="121">
        <v>707</v>
      </c>
      <c r="BI13" s="1338"/>
      <c r="BJ13" s="1306"/>
      <c r="BK13" s="1304"/>
      <c r="BL13" s="1306"/>
      <c r="BM13" s="123">
        <v>77</v>
      </c>
      <c r="BN13" s="1246">
        <v>68</v>
      </c>
      <c r="BO13" s="1243"/>
      <c r="BP13" s="123">
        <v>73</v>
      </c>
      <c r="BQ13" s="1246">
        <v>56</v>
      </c>
      <c r="BR13" s="1243">
        <v>8414</v>
      </c>
      <c r="BS13" s="123">
        <v>63</v>
      </c>
      <c r="BT13" s="1246">
        <v>50</v>
      </c>
      <c r="BU13" s="1243">
        <v>5241</v>
      </c>
      <c r="BV13" s="1289"/>
      <c r="BW13" s="1317"/>
    </row>
    <row r="14" spans="1:75">
      <c r="A14" s="18" t="s">
        <v>45</v>
      </c>
      <c r="B14" s="120">
        <v>143</v>
      </c>
      <c r="C14" s="1274"/>
      <c r="D14" s="1275"/>
      <c r="E14" s="120">
        <v>110</v>
      </c>
      <c r="F14" s="1274"/>
      <c r="G14" s="1275"/>
      <c r="H14" s="121">
        <v>136</v>
      </c>
      <c r="I14" s="1364"/>
      <c r="J14" s="1317"/>
      <c r="K14" s="1289"/>
      <c r="L14" s="1317"/>
      <c r="M14" s="121">
        <v>225</v>
      </c>
      <c r="N14" s="1274"/>
      <c r="O14" s="1275"/>
      <c r="P14" s="120">
        <v>174</v>
      </c>
      <c r="Q14" s="1274"/>
      <c r="R14" s="1275"/>
      <c r="S14" s="121">
        <v>191</v>
      </c>
      <c r="T14" s="1364"/>
      <c r="U14" s="1317"/>
      <c r="V14" s="1289"/>
      <c r="W14" s="1317"/>
      <c r="X14" s="120">
        <v>659</v>
      </c>
      <c r="Y14" s="1274"/>
      <c r="Z14" s="1275"/>
      <c r="AA14" s="120">
        <v>403</v>
      </c>
      <c r="AB14" s="1274"/>
      <c r="AC14" s="1275"/>
      <c r="AD14" s="121">
        <v>678</v>
      </c>
      <c r="AE14" s="1364"/>
      <c r="AF14" s="1317"/>
      <c r="AG14" s="1369"/>
      <c r="AH14" s="1372"/>
      <c r="AI14" s="120">
        <v>904</v>
      </c>
      <c r="AJ14" s="1274"/>
      <c r="AK14" s="1275"/>
      <c r="AL14" s="121">
        <v>792</v>
      </c>
      <c r="AM14" s="1274"/>
      <c r="AN14" s="1275"/>
      <c r="AO14" s="121">
        <v>950</v>
      </c>
      <c r="AP14" s="1364"/>
      <c r="AQ14" s="1317"/>
      <c r="AR14" s="1289"/>
      <c r="AS14" s="1317"/>
      <c r="AT14" s="1289"/>
      <c r="AU14" s="1317"/>
      <c r="AV14" s="1313"/>
      <c r="AW14" s="1275"/>
      <c r="AX14" s="1313"/>
      <c r="AY14" s="1275"/>
      <c r="AZ14" s="1289"/>
      <c r="BA14" s="1317"/>
      <c r="BB14" s="121">
        <v>758</v>
      </c>
      <c r="BC14" s="1274"/>
      <c r="BD14" s="1275"/>
      <c r="BE14" s="120">
        <v>539</v>
      </c>
      <c r="BF14" s="1274"/>
      <c r="BG14" s="1275"/>
      <c r="BH14" s="121">
        <v>713</v>
      </c>
      <c r="BI14" s="1338"/>
      <c r="BJ14" s="1306"/>
      <c r="BK14" s="1304"/>
      <c r="BL14" s="1306"/>
      <c r="BM14" s="123">
        <v>82</v>
      </c>
      <c r="BN14" s="1246">
        <v>66</v>
      </c>
      <c r="BO14" s="1243"/>
      <c r="BP14" s="123">
        <v>59</v>
      </c>
      <c r="BQ14" s="1246">
        <v>54</v>
      </c>
      <c r="BR14" s="1243">
        <v>8142</v>
      </c>
      <c r="BS14" s="123">
        <v>64</v>
      </c>
      <c r="BT14" s="1246">
        <v>49</v>
      </c>
      <c r="BU14" s="1243">
        <v>5072</v>
      </c>
      <c r="BV14" s="1289"/>
      <c r="BW14" s="1317"/>
    </row>
    <row r="15" spans="1:75">
      <c r="A15" s="19" t="s">
        <v>46</v>
      </c>
      <c r="B15" s="120">
        <v>135</v>
      </c>
      <c r="C15" s="1363"/>
      <c r="D15" s="1312"/>
      <c r="E15" s="120">
        <v>122</v>
      </c>
      <c r="F15" s="1363"/>
      <c r="G15" s="1312"/>
      <c r="H15" s="121">
        <v>121</v>
      </c>
      <c r="I15" s="1366"/>
      <c r="J15" s="1318"/>
      <c r="K15" s="1290"/>
      <c r="L15" s="1318"/>
      <c r="M15" s="121">
        <v>183</v>
      </c>
      <c r="N15" s="1363"/>
      <c r="O15" s="1312"/>
      <c r="P15" s="120">
        <v>119</v>
      </c>
      <c r="Q15" s="1363"/>
      <c r="R15" s="1312"/>
      <c r="S15" s="121">
        <v>144</v>
      </c>
      <c r="T15" s="1366"/>
      <c r="U15" s="1318"/>
      <c r="V15" s="1290"/>
      <c r="W15" s="1318"/>
      <c r="X15" s="120">
        <v>516</v>
      </c>
      <c r="Y15" s="1363"/>
      <c r="Z15" s="1312"/>
      <c r="AA15" s="120">
        <v>604</v>
      </c>
      <c r="AB15" s="1363"/>
      <c r="AC15" s="1312"/>
      <c r="AD15" s="121">
        <v>531</v>
      </c>
      <c r="AE15" s="1366"/>
      <c r="AF15" s="1318"/>
      <c r="AG15" s="1370"/>
      <c r="AH15" s="1373"/>
      <c r="AI15" s="120">
        <v>771</v>
      </c>
      <c r="AJ15" s="1363"/>
      <c r="AK15" s="1312"/>
      <c r="AL15" s="121">
        <v>846</v>
      </c>
      <c r="AM15" s="1363"/>
      <c r="AN15" s="1312"/>
      <c r="AO15" s="121">
        <v>733</v>
      </c>
      <c r="AP15" s="1366"/>
      <c r="AQ15" s="1318"/>
      <c r="AR15" s="1290"/>
      <c r="AS15" s="1318"/>
      <c r="AT15" s="1290"/>
      <c r="AU15" s="1318"/>
      <c r="AV15" s="1314"/>
      <c r="AW15" s="1312"/>
      <c r="AX15" s="1314"/>
      <c r="AY15" s="1312"/>
      <c r="AZ15" s="1290"/>
      <c r="BA15" s="1318"/>
      <c r="BB15" s="121">
        <v>532</v>
      </c>
      <c r="BC15" s="1363"/>
      <c r="BD15" s="1312"/>
      <c r="BE15" s="120">
        <v>542</v>
      </c>
      <c r="BF15" s="1363"/>
      <c r="BG15" s="1312"/>
      <c r="BH15" s="121">
        <v>560</v>
      </c>
      <c r="BI15" s="1339"/>
      <c r="BJ15" s="1307"/>
      <c r="BK15" s="1305"/>
      <c r="BL15" s="1307"/>
      <c r="BM15" s="123">
        <v>60</v>
      </c>
      <c r="BN15" s="1251">
        <v>68</v>
      </c>
      <c r="BO15" s="1244"/>
      <c r="BP15" s="123">
        <v>57</v>
      </c>
      <c r="BQ15" s="1251">
        <v>50</v>
      </c>
      <c r="BR15" s="1244">
        <v>7707</v>
      </c>
      <c r="BS15" s="123">
        <v>48</v>
      </c>
      <c r="BT15" s="1251">
        <v>21</v>
      </c>
      <c r="BU15" s="1244">
        <v>2198</v>
      </c>
      <c r="BV15" s="1290"/>
      <c r="BW15" s="1318"/>
    </row>
    <row r="16" spans="1:75">
      <c r="A16" s="13" t="s">
        <v>4</v>
      </c>
      <c r="B16" s="125">
        <f>SUM(B4:B15)</f>
        <v>897</v>
      </c>
      <c r="C16" s="126">
        <f>C4+C6</f>
        <v>896</v>
      </c>
      <c r="D16" s="126">
        <f>D4+D6</f>
        <v>5920.28</v>
      </c>
      <c r="E16" s="125">
        <f>SUM(E4:E15)</f>
        <v>736.21</v>
      </c>
      <c r="F16" s="126">
        <f>F6+F4</f>
        <v>701</v>
      </c>
      <c r="G16" s="127">
        <f>G4+G6</f>
        <v>5096</v>
      </c>
      <c r="H16" s="126">
        <f t="shared" ref="H16:M16" si="0">SUM(H4:H15)</f>
        <v>833.5</v>
      </c>
      <c r="I16" s="126">
        <f t="shared" si="0"/>
        <v>929</v>
      </c>
      <c r="J16" s="127">
        <f t="shared" si="0"/>
        <v>6795.42</v>
      </c>
      <c r="K16" s="125">
        <f t="shared" si="0"/>
        <v>1154</v>
      </c>
      <c r="L16" s="127">
        <f t="shared" si="0"/>
        <v>8360.3989999999994</v>
      </c>
      <c r="M16" s="128">
        <f t="shared" si="0"/>
        <v>2072</v>
      </c>
      <c r="N16" s="126">
        <f>N6+N4</f>
        <v>2073</v>
      </c>
      <c r="O16" s="127">
        <f>O4+O6</f>
        <v>12312.73</v>
      </c>
      <c r="P16" s="129">
        <f>SUM(P4:P15)</f>
        <v>1698</v>
      </c>
      <c r="Q16" s="126">
        <f>Q6+Q4</f>
        <v>1767</v>
      </c>
      <c r="R16" s="127">
        <f>R4+R6</f>
        <v>11054</v>
      </c>
      <c r="S16" s="128">
        <v>1513</v>
      </c>
      <c r="T16" s="128">
        <f>SUM(T4:T15)</f>
        <v>1528</v>
      </c>
      <c r="U16" s="128">
        <f>SUM(U4:U15)</f>
        <v>11044.307000000001</v>
      </c>
      <c r="V16" s="128">
        <f>SUM(V4:V15)</f>
        <v>1708</v>
      </c>
      <c r="W16" s="128">
        <f>SUM(W4:W15)</f>
        <v>12665.726000000001</v>
      </c>
      <c r="X16" s="129">
        <v>5488</v>
      </c>
      <c r="Y16" s="126">
        <f>Y6+Y4</f>
        <v>5488</v>
      </c>
      <c r="Z16" s="127">
        <f>Z4+Z6</f>
        <v>27741.83</v>
      </c>
      <c r="AA16" s="129">
        <v>4470</v>
      </c>
      <c r="AB16" s="126">
        <f>AB6+AB4</f>
        <v>4310</v>
      </c>
      <c r="AC16" s="127">
        <f>AC4+AC6</f>
        <v>22635</v>
      </c>
      <c r="AD16" s="128">
        <v>4953</v>
      </c>
      <c r="AE16" s="128">
        <f>SUM(AE4:AE15)</f>
        <v>5231</v>
      </c>
      <c r="AF16" s="128">
        <f>SUM(AF4:AF15)</f>
        <v>29140.86</v>
      </c>
      <c r="AG16" s="129">
        <f>SUM(AG4:AG15)</f>
        <v>1019</v>
      </c>
      <c r="AH16" s="130">
        <f>SUM(AH4:AH15)</f>
        <v>5958.1490000000003</v>
      </c>
      <c r="AI16" s="129">
        <v>8763</v>
      </c>
      <c r="AJ16" s="126">
        <f>AJ6+AJ4</f>
        <v>8761</v>
      </c>
      <c r="AK16" s="127">
        <f>AK4+AK6</f>
        <v>46784</v>
      </c>
      <c r="AL16" s="128">
        <v>8753</v>
      </c>
      <c r="AM16" s="126">
        <f>AM6+AM4</f>
        <v>8779</v>
      </c>
      <c r="AN16" s="127">
        <f>AN4+AN6</f>
        <v>47372</v>
      </c>
      <c r="AO16" s="128">
        <v>9182</v>
      </c>
      <c r="AP16" s="128">
        <f t="shared" ref="AP16:AU16" si="1">SUM(AP4:AP15)</f>
        <v>8958</v>
      </c>
      <c r="AQ16" s="128">
        <f t="shared" si="1"/>
        <v>53636.53</v>
      </c>
      <c r="AR16" s="128">
        <f t="shared" si="1"/>
        <v>8359</v>
      </c>
      <c r="AS16" s="128">
        <f t="shared" si="1"/>
        <v>51996.14</v>
      </c>
      <c r="AT16" s="129">
        <f t="shared" si="1"/>
        <v>259417</v>
      </c>
      <c r="AU16" s="128">
        <f t="shared" si="1"/>
        <v>591551</v>
      </c>
      <c r="AV16" s="129">
        <v>245272</v>
      </c>
      <c r="AW16" s="130">
        <v>530608</v>
      </c>
      <c r="AX16" s="128">
        <v>292222</v>
      </c>
      <c r="AY16" s="130">
        <v>621997</v>
      </c>
      <c r="AZ16" s="129">
        <f>SUM(AZ4:AZ15)</f>
        <v>251667</v>
      </c>
      <c r="BA16" s="130">
        <f>SUM(BA4:BA15)</f>
        <v>904307</v>
      </c>
      <c r="BB16" s="128">
        <v>7040</v>
      </c>
      <c r="BC16" s="128">
        <v>7047</v>
      </c>
      <c r="BD16" s="128">
        <v>12302</v>
      </c>
      <c r="BE16" s="129">
        <v>6148</v>
      </c>
      <c r="BF16" s="128">
        <v>6143</v>
      </c>
      <c r="BG16" s="130">
        <v>8651</v>
      </c>
      <c r="BH16" s="128">
        <v>6231</v>
      </c>
      <c r="BI16" s="128">
        <f>SUM(BI4:BI15)</f>
        <v>6798.26</v>
      </c>
      <c r="BJ16" s="128">
        <f>SUM(BJ4:BJ15)</f>
        <v>7365.1490000000003</v>
      </c>
      <c r="BK16" s="128">
        <f t="shared" ref="BK16:BL16" si="2">SUM(BK4:BK15)</f>
        <v>9268.93</v>
      </c>
      <c r="BL16" s="128">
        <f t="shared" si="2"/>
        <v>9651.4310000000005</v>
      </c>
      <c r="BM16" s="131">
        <v>817</v>
      </c>
      <c r="BN16" s="132">
        <v>798</v>
      </c>
      <c r="BO16" s="132">
        <v>112062</v>
      </c>
      <c r="BP16" s="131">
        <v>651</v>
      </c>
      <c r="BQ16" s="132">
        <v>659</v>
      </c>
      <c r="BR16" s="133">
        <v>98770</v>
      </c>
      <c r="BS16" s="131">
        <v>587</v>
      </c>
      <c r="BT16" s="132">
        <v>562</v>
      </c>
      <c r="BU16" s="132">
        <v>58661</v>
      </c>
      <c r="BV16" s="398">
        <f>SUM(BV4:BV15)</f>
        <v>671</v>
      </c>
      <c r="BW16" s="399">
        <f>SUM(BW4:BW15)</f>
        <v>75455.850000000006</v>
      </c>
    </row>
    <row r="23" spans="59:59">
      <c r="BG23" s="219">
        <f>C16+N16+Y16+AJ16</f>
        <v>17218</v>
      </c>
    </row>
    <row r="24" spans="59:59">
      <c r="BG24" s="219">
        <f>AK16+Z16+O16+D16</f>
        <v>92758.84</v>
      </c>
    </row>
    <row r="25" spans="59:59">
      <c r="BG25">
        <f>BG24/BG23</f>
        <v>5.387317923103728</v>
      </c>
    </row>
  </sheetData>
  <mergeCells count="126">
    <mergeCell ref="BL4:BL15"/>
    <mergeCell ref="BV4:BV15"/>
    <mergeCell ref="BW4:BW15"/>
    <mergeCell ref="AZ4:AZ15"/>
    <mergeCell ref="BA4:BA15"/>
    <mergeCell ref="BI4:BI15"/>
    <mergeCell ref="BJ4:BJ15"/>
    <mergeCell ref="BK4:BK15"/>
    <mergeCell ref="V4:V5"/>
    <mergeCell ref="W4:W5"/>
    <mergeCell ref="BT4:BT15"/>
    <mergeCell ref="BG4:BG15"/>
    <mergeCell ref="BF4:BF15"/>
    <mergeCell ref="BD10:BD15"/>
    <mergeCell ref="BC10:BC15"/>
    <mergeCell ref="BD4:BD9"/>
    <mergeCell ref="BC4:BC9"/>
    <mergeCell ref="AM4:AM5"/>
    <mergeCell ref="AN4:AN5"/>
    <mergeCell ref="AM6:AM15"/>
    <mergeCell ref="AN6:AN15"/>
    <mergeCell ref="AY4:AY15"/>
    <mergeCell ref="AX4:AX15"/>
    <mergeCell ref="AW4:AW15"/>
    <mergeCell ref="T6:T15"/>
    <mergeCell ref="U6:U15"/>
    <mergeCell ref="V6:V15"/>
    <mergeCell ref="W6:W15"/>
    <mergeCell ref="L4:L5"/>
    <mergeCell ref="K6:K15"/>
    <mergeCell ref="L6:L15"/>
    <mergeCell ref="T4:T5"/>
    <mergeCell ref="U4:U5"/>
    <mergeCell ref="N4:N5"/>
    <mergeCell ref="O4:O5"/>
    <mergeCell ref="N6:N15"/>
    <mergeCell ref="O6:O15"/>
    <mergeCell ref="I4:I5"/>
    <mergeCell ref="J4:J5"/>
    <mergeCell ref="I6:I15"/>
    <mergeCell ref="J6:J15"/>
    <mergeCell ref="K4:K5"/>
    <mergeCell ref="BV2:BW2"/>
    <mergeCell ref="BM1:BW1"/>
    <mergeCell ref="BK2:BL2"/>
    <mergeCell ref="BB1:BL1"/>
    <mergeCell ref="AT1:BA1"/>
    <mergeCell ref="AZ2:BA2"/>
    <mergeCell ref="AV2:AW2"/>
    <mergeCell ref="AX2:AY2"/>
    <mergeCell ref="BM2:BO2"/>
    <mergeCell ref="BP2:BR2"/>
    <mergeCell ref="BS2:BU2"/>
    <mergeCell ref="BB2:BD2"/>
    <mergeCell ref="BE2:BG2"/>
    <mergeCell ref="BH2:BJ2"/>
    <mergeCell ref="BU4:BU15"/>
    <mergeCell ref="BO4:BO15"/>
    <mergeCell ref="BN4:BN15"/>
    <mergeCell ref="BQ4:BQ15"/>
    <mergeCell ref="BR4:BR15"/>
    <mergeCell ref="AV4:AV15"/>
    <mergeCell ref="AP4:AP5"/>
    <mergeCell ref="AQ4:AQ5"/>
    <mergeCell ref="AP6:AP15"/>
    <mergeCell ref="AQ6:AQ15"/>
    <mergeCell ref="AR4:AR5"/>
    <mergeCell ref="AS4:AS5"/>
    <mergeCell ref="AR6:AR15"/>
    <mergeCell ref="AS6:AS15"/>
    <mergeCell ref="AT4:AT15"/>
    <mergeCell ref="AU4:AU15"/>
    <mergeCell ref="AJ4:AJ5"/>
    <mergeCell ref="AK4:AK5"/>
    <mergeCell ref="AJ6:AJ15"/>
    <mergeCell ref="AK6:AK15"/>
    <mergeCell ref="AE4:AE5"/>
    <mergeCell ref="AF4:AF5"/>
    <mergeCell ref="AE6:AE15"/>
    <mergeCell ref="AF6:AF15"/>
    <mergeCell ref="AG4:AG5"/>
    <mergeCell ref="AH4:AH5"/>
    <mergeCell ref="AG6:AG15"/>
    <mergeCell ref="AH6:AH15"/>
    <mergeCell ref="G6:G15"/>
    <mergeCell ref="F6:F15"/>
    <mergeCell ref="F4:F5"/>
    <mergeCell ref="G4:G5"/>
    <mergeCell ref="C6:C15"/>
    <mergeCell ref="D6:D15"/>
    <mergeCell ref="C4:C5"/>
    <mergeCell ref="D4:D5"/>
    <mergeCell ref="AT2:AU2"/>
    <mergeCell ref="AI2:AK2"/>
    <mergeCell ref="AL2:AN2"/>
    <mergeCell ref="AO2:AQ2"/>
    <mergeCell ref="Y4:Y5"/>
    <mergeCell ref="Z4:Z5"/>
    <mergeCell ref="Y6:Y15"/>
    <mergeCell ref="Z6:Z15"/>
    <mergeCell ref="AB4:AB5"/>
    <mergeCell ref="Q4:Q5"/>
    <mergeCell ref="Q6:Q15"/>
    <mergeCell ref="R4:R5"/>
    <mergeCell ref="R6:R15"/>
    <mergeCell ref="AC4:AC5"/>
    <mergeCell ref="AB6:AB15"/>
    <mergeCell ref="AC6:AC15"/>
    <mergeCell ref="AI1:AS1"/>
    <mergeCell ref="AR2:AS2"/>
    <mergeCell ref="V2:W2"/>
    <mergeCell ref="M1:W1"/>
    <mergeCell ref="X1:AH1"/>
    <mergeCell ref="AG2:AH2"/>
    <mergeCell ref="A1:A3"/>
    <mergeCell ref="B2:D2"/>
    <mergeCell ref="E2:G2"/>
    <mergeCell ref="H2:J2"/>
    <mergeCell ref="M2:O2"/>
    <mergeCell ref="P2:R2"/>
    <mergeCell ref="S2:U2"/>
    <mergeCell ref="X2:Z2"/>
    <mergeCell ref="AA2:AC2"/>
    <mergeCell ref="AD2:AF2"/>
    <mergeCell ref="B1:L1"/>
    <mergeCell ref="K2:L2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workbookViewId="0">
      <pane xSplit="1" topLeftCell="B1" activePane="topRight" state="frozen"/>
      <selection pane="topRight" activeCell="AB24" sqref="AB24"/>
    </sheetView>
  </sheetViews>
  <sheetFormatPr defaultColWidth="8.85546875" defaultRowHeight="15"/>
  <cols>
    <col min="2" max="3" width="9.42578125" bestFit="1" customWidth="1"/>
    <col min="4" max="4" width="10" bestFit="1" customWidth="1"/>
    <col min="5" max="6" width="9.42578125" bestFit="1" customWidth="1"/>
    <col min="7" max="7" width="10" bestFit="1" customWidth="1"/>
    <col min="8" max="8" width="9.42578125" bestFit="1" customWidth="1"/>
    <col min="10" max="10" width="10" bestFit="1" customWidth="1"/>
    <col min="12" max="12" width="10" bestFit="1" customWidth="1"/>
    <col min="13" max="13" width="10.140625" customWidth="1"/>
    <col min="14" max="14" width="13.28515625" customWidth="1"/>
    <col min="15" max="16" width="10.42578125" customWidth="1"/>
    <col min="17" max="17" width="15" customWidth="1"/>
    <col min="18" max="20" width="11.42578125" customWidth="1"/>
    <col min="21" max="22" width="9.42578125" bestFit="1" customWidth="1"/>
    <col min="23" max="23" width="10" bestFit="1" customWidth="1"/>
    <col min="24" max="29" width="9.42578125" bestFit="1" customWidth="1"/>
  </cols>
  <sheetData>
    <row r="1" spans="1:31" ht="15" customHeight="1">
      <c r="A1" s="1255"/>
      <c r="B1" s="1261" t="s">
        <v>48</v>
      </c>
      <c r="C1" s="1262"/>
      <c r="D1" s="1262"/>
      <c r="E1" s="1262"/>
      <c r="F1" s="1262"/>
      <c r="G1" s="1262"/>
      <c r="H1" s="1262"/>
      <c r="I1" s="1262"/>
      <c r="J1" s="1262"/>
      <c r="K1" s="1263"/>
      <c r="L1" s="1264"/>
      <c r="M1" s="1295" t="s">
        <v>53</v>
      </c>
      <c r="N1" s="1296"/>
      <c r="O1" s="1296"/>
      <c r="P1" s="1296"/>
      <c r="Q1" s="1296"/>
      <c r="R1" s="1296"/>
      <c r="S1" s="1297"/>
      <c r="T1" s="1298"/>
      <c r="U1" s="1265" t="s">
        <v>63</v>
      </c>
      <c r="V1" s="1266"/>
      <c r="W1" s="1266"/>
      <c r="X1" s="1266"/>
      <c r="Y1" s="1266"/>
      <c r="Z1" s="1266"/>
      <c r="AA1" s="1266"/>
      <c r="AB1" s="1266"/>
      <c r="AC1" s="1266"/>
      <c r="AD1" s="1381"/>
      <c r="AE1" s="1382"/>
    </row>
    <row r="2" spans="1:31">
      <c r="A2" s="1255"/>
      <c r="B2" s="1319">
        <v>2019</v>
      </c>
      <c r="C2" s="1320"/>
      <c r="D2" s="1320"/>
      <c r="E2" s="1319">
        <v>2020</v>
      </c>
      <c r="F2" s="1320"/>
      <c r="G2" s="1321"/>
      <c r="H2" s="1322">
        <v>2021</v>
      </c>
      <c r="I2" s="1320"/>
      <c r="J2" s="1321"/>
      <c r="K2" s="1319">
        <v>2022</v>
      </c>
      <c r="L2" s="1272"/>
      <c r="M2" s="1271">
        <v>2019</v>
      </c>
      <c r="N2" s="1292"/>
      <c r="O2" s="1271">
        <v>2020</v>
      </c>
      <c r="P2" s="1293"/>
      <c r="Q2" s="1294">
        <v>2021</v>
      </c>
      <c r="R2" s="1293"/>
      <c r="S2" s="1271">
        <v>2022</v>
      </c>
      <c r="T2" s="1272"/>
      <c r="U2" s="1383">
        <v>2019</v>
      </c>
      <c r="V2" s="1384"/>
      <c r="W2" s="1384"/>
      <c r="X2" s="1383">
        <v>2020</v>
      </c>
      <c r="Y2" s="1384"/>
      <c r="Z2" s="1385"/>
      <c r="AA2" s="1383">
        <v>2021</v>
      </c>
      <c r="AB2" s="1384"/>
      <c r="AC2" s="1384"/>
      <c r="AD2" s="1269">
        <v>2022</v>
      </c>
      <c r="AE2" s="1270"/>
    </row>
    <row r="3" spans="1:31" ht="30">
      <c r="A3" s="1255"/>
      <c r="B3" s="137" t="s">
        <v>1</v>
      </c>
      <c r="C3" s="138" t="s">
        <v>2</v>
      </c>
      <c r="D3" s="138" t="s">
        <v>3</v>
      </c>
      <c r="E3" s="137" t="s">
        <v>1</v>
      </c>
      <c r="F3" s="138" t="s">
        <v>2</v>
      </c>
      <c r="G3" s="139" t="s">
        <v>3</v>
      </c>
      <c r="H3" s="138" t="s">
        <v>67</v>
      </c>
      <c r="I3" s="138" t="s">
        <v>2</v>
      </c>
      <c r="J3" s="139" t="s">
        <v>3</v>
      </c>
      <c r="K3" s="138" t="s">
        <v>1</v>
      </c>
      <c r="L3" s="138" t="s">
        <v>3</v>
      </c>
      <c r="M3" s="137" t="s">
        <v>2</v>
      </c>
      <c r="N3" s="138" t="s">
        <v>3</v>
      </c>
      <c r="O3" s="137" t="s">
        <v>2</v>
      </c>
      <c r="P3" s="139" t="s">
        <v>3</v>
      </c>
      <c r="Q3" s="138" t="s">
        <v>2</v>
      </c>
      <c r="R3" s="139" t="s">
        <v>3</v>
      </c>
      <c r="S3" s="138" t="s">
        <v>1</v>
      </c>
      <c r="T3" s="138" t="s">
        <v>3</v>
      </c>
      <c r="U3" s="146" t="s">
        <v>6</v>
      </c>
      <c r="V3" s="147" t="s">
        <v>7</v>
      </c>
      <c r="W3" s="147" t="s">
        <v>3</v>
      </c>
      <c r="X3" s="146" t="s">
        <v>6</v>
      </c>
      <c r="Y3" s="147" t="s">
        <v>7</v>
      </c>
      <c r="Z3" s="148" t="s">
        <v>3</v>
      </c>
      <c r="AA3" s="146" t="s">
        <v>6</v>
      </c>
      <c r="AB3" s="147" t="s">
        <v>7</v>
      </c>
      <c r="AC3" s="147" t="s">
        <v>3</v>
      </c>
      <c r="AD3" s="367" t="s">
        <v>1</v>
      </c>
      <c r="AE3" s="368" t="s">
        <v>3</v>
      </c>
    </row>
    <row r="4" spans="1:31">
      <c r="A4" s="14" t="s">
        <v>35</v>
      </c>
      <c r="B4" s="116">
        <v>6274</v>
      </c>
      <c r="C4" s="116">
        <v>5843</v>
      </c>
      <c r="D4" s="116">
        <v>28271</v>
      </c>
      <c r="E4" s="115">
        <v>5313</v>
      </c>
      <c r="F4" s="116">
        <v>5143</v>
      </c>
      <c r="G4" s="117">
        <v>25348</v>
      </c>
      <c r="H4" s="116">
        <v>4416</v>
      </c>
      <c r="I4" s="396">
        <v>4106</v>
      </c>
      <c r="J4" s="528">
        <v>22985</v>
      </c>
      <c r="K4" s="396">
        <v>5911</v>
      </c>
      <c r="L4" s="396">
        <v>33105</v>
      </c>
      <c r="M4" s="1341">
        <v>438667</v>
      </c>
      <c r="N4" s="1340">
        <v>1000255.06</v>
      </c>
      <c r="O4" s="1288">
        <v>405639</v>
      </c>
      <c r="P4" s="1286">
        <v>877539</v>
      </c>
      <c r="Q4" s="1288">
        <v>498333</v>
      </c>
      <c r="R4" s="1286">
        <v>1060532</v>
      </c>
      <c r="S4" s="1288">
        <v>439453</v>
      </c>
      <c r="T4" s="1286">
        <v>1578738.39</v>
      </c>
      <c r="U4" s="118">
        <v>112</v>
      </c>
      <c r="V4" s="1245">
        <v>1006</v>
      </c>
      <c r="W4" s="1247">
        <v>100601.86</v>
      </c>
      <c r="X4" s="118">
        <v>91</v>
      </c>
      <c r="Y4" s="1245">
        <v>759.33</v>
      </c>
      <c r="Z4" s="1247">
        <v>74182.05</v>
      </c>
      <c r="AA4" s="118">
        <v>51</v>
      </c>
      <c r="AB4" s="1245">
        <v>253</v>
      </c>
      <c r="AC4" s="1247">
        <v>26505.29</v>
      </c>
      <c r="AD4" s="1386">
        <v>59</v>
      </c>
      <c r="AE4" s="1387">
        <v>6634.7269999999999</v>
      </c>
    </row>
    <row r="5" spans="1:31">
      <c r="A5" s="15" t="s">
        <v>36</v>
      </c>
      <c r="B5" s="121">
        <v>3607</v>
      </c>
      <c r="C5" s="121">
        <v>3547</v>
      </c>
      <c r="D5" s="121">
        <v>17898</v>
      </c>
      <c r="E5" s="120">
        <v>4364</v>
      </c>
      <c r="F5" s="121">
        <v>4215</v>
      </c>
      <c r="G5" s="122">
        <v>21122</v>
      </c>
      <c r="H5" s="121">
        <v>2899</v>
      </c>
      <c r="I5" s="393">
        <v>3111</v>
      </c>
      <c r="J5" s="391">
        <v>17929</v>
      </c>
      <c r="K5" s="393">
        <v>4837</v>
      </c>
      <c r="L5" s="393">
        <v>27579</v>
      </c>
      <c r="M5" s="1374"/>
      <c r="N5" s="1367"/>
      <c r="O5" s="1313"/>
      <c r="P5" s="1275"/>
      <c r="Q5" s="1313"/>
      <c r="R5" s="1275"/>
      <c r="S5" s="1289"/>
      <c r="T5" s="1317"/>
      <c r="U5" s="123">
        <v>76</v>
      </c>
      <c r="V5" s="1246"/>
      <c r="W5" s="1243"/>
      <c r="X5" s="123">
        <v>67</v>
      </c>
      <c r="Y5" s="1246"/>
      <c r="Z5" s="1243"/>
      <c r="AA5" s="123">
        <v>37</v>
      </c>
      <c r="AB5" s="1364"/>
      <c r="AC5" s="1317"/>
      <c r="AD5" s="1304"/>
      <c r="AE5" s="1388"/>
    </row>
    <row r="6" spans="1:31">
      <c r="A6" s="15" t="s">
        <v>37</v>
      </c>
      <c r="B6" s="121">
        <v>5016</v>
      </c>
      <c r="C6" s="121">
        <v>4968</v>
      </c>
      <c r="D6" s="121">
        <v>24318</v>
      </c>
      <c r="E6" s="120">
        <v>2458</v>
      </c>
      <c r="F6" s="121">
        <v>2444</v>
      </c>
      <c r="G6" s="122">
        <v>13057</v>
      </c>
      <c r="H6" s="121">
        <v>2321</v>
      </c>
      <c r="I6" s="393">
        <v>2158</v>
      </c>
      <c r="J6" s="391">
        <v>13086</v>
      </c>
      <c r="K6" s="393">
        <v>4400</v>
      </c>
      <c r="L6" s="393">
        <v>25331</v>
      </c>
      <c r="M6" s="1374"/>
      <c r="N6" s="1367"/>
      <c r="O6" s="1313"/>
      <c r="P6" s="1275"/>
      <c r="Q6" s="1313"/>
      <c r="R6" s="1275"/>
      <c r="S6" s="1289"/>
      <c r="T6" s="1317"/>
      <c r="U6" s="123">
        <v>102</v>
      </c>
      <c r="V6" s="1246"/>
      <c r="W6" s="1243"/>
      <c r="X6" s="123">
        <v>46</v>
      </c>
      <c r="Y6" s="1246"/>
      <c r="Z6" s="1243"/>
      <c r="AA6" s="123">
        <v>37</v>
      </c>
      <c r="AB6" s="1246">
        <v>610</v>
      </c>
      <c r="AC6" s="1243">
        <v>70540.77</v>
      </c>
      <c r="AD6" s="1289">
        <v>664</v>
      </c>
      <c r="AE6" s="1389">
        <v>74668.789999999994</v>
      </c>
    </row>
    <row r="7" spans="1:31">
      <c r="A7" s="15" t="s">
        <v>38</v>
      </c>
      <c r="B7" s="121">
        <v>3979</v>
      </c>
      <c r="C7" s="121">
        <v>4018</v>
      </c>
      <c r="D7" s="121">
        <v>20026</v>
      </c>
      <c r="E7" s="120">
        <v>894</v>
      </c>
      <c r="F7" s="121">
        <v>811</v>
      </c>
      <c r="G7" s="122">
        <v>5620</v>
      </c>
      <c r="H7" s="121">
        <v>2993</v>
      </c>
      <c r="I7" s="393">
        <v>2967</v>
      </c>
      <c r="J7" s="391">
        <v>17197</v>
      </c>
      <c r="K7" s="393">
        <v>4267</v>
      </c>
      <c r="L7" s="393">
        <v>24647</v>
      </c>
      <c r="M7" s="1374"/>
      <c r="N7" s="1367"/>
      <c r="O7" s="1313"/>
      <c r="P7" s="1275"/>
      <c r="Q7" s="1313"/>
      <c r="R7" s="1275"/>
      <c r="S7" s="1289"/>
      <c r="T7" s="1317"/>
      <c r="U7" s="123">
        <v>90</v>
      </c>
      <c r="V7" s="1246"/>
      <c r="W7" s="1243"/>
      <c r="X7" s="123">
        <v>24</v>
      </c>
      <c r="Y7" s="1246"/>
      <c r="Z7" s="1243"/>
      <c r="AA7" s="123">
        <v>45</v>
      </c>
      <c r="AB7" s="1364"/>
      <c r="AC7" s="1317"/>
      <c r="AD7" s="1289"/>
      <c r="AE7" s="1389"/>
    </row>
    <row r="8" spans="1:31">
      <c r="A8" s="15" t="s">
        <v>39</v>
      </c>
      <c r="B8" s="121">
        <v>4096</v>
      </c>
      <c r="C8" s="121">
        <v>4096</v>
      </c>
      <c r="D8" s="121">
        <v>20378</v>
      </c>
      <c r="E8" s="120">
        <v>1415</v>
      </c>
      <c r="F8" s="121">
        <v>1380</v>
      </c>
      <c r="G8" s="122">
        <v>8212</v>
      </c>
      <c r="H8" s="121">
        <v>4137</v>
      </c>
      <c r="I8" s="393">
        <v>4141</v>
      </c>
      <c r="J8" s="391">
        <v>23163</v>
      </c>
      <c r="K8" s="393">
        <v>4353</v>
      </c>
      <c r="L8" s="393">
        <v>25089</v>
      </c>
      <c r="M8" s="1374"/>
      <c r="N8" s="1367"/>
      <c r="O8" s="1313"/>
      <c r="P8" s="1275"/>
      <c r="Q8" s="1313"/>
      <c r="R8" s="1275"/>
      <c r="S8" s="1289"/>
      <c r="T8" s="1317"/>
      <c r="U8" s="123">
        <v>88</v>
      </c>
      <c r="V8" s="1246"/>
      <c r="W8" s="1243"/>
      <c r="X8" s="123">
        <v>30</v>
      </c>
      <c r="Y8" s="1246"/>
      <c r="Z8" s="1243"/>
      <c r="AA8" s="123">
        <v>68</v>
      </c>
      <c r="AB8" s="1364"/>
      <c r="AC8" s="1317"/>
      <c r="AD8" s="1289"/>
      <c r="AE8" s="1389"/>
    </row>
    <row r="9" spans="1:31">
      <c r="A9" s="15" t="s">
        <v>40</v>
      </c>
      <c r="B9" s="121">
        <v>3414</v>
      </c>
      <c r="C9" s="121">
        <v>3500</v>
      </c>
      <c r="D9" s="121">
        <v>17685</v>
      </c>
      <c r="E9" s="120">
        <v>2924</v>
      </c>
      <c r="F9" s="121">
        <v>2976</v>
      </c>
      <c r="G9" s="122">
        <v>15480</v>
      </c>
      <c r="H9" s="121">
        <v>4064</v>
      </c>
      <c r="I9" s="393">
        <v>4118</v>
      </c>
      <c r="J9" s="391">
        <v>23046</v>
      </c>
      <c r="K9" s="393">
        <v>3815</v>
      </c>
      <c r="L9" s="393">
        <v>22321</v>
      </c>
      <c r="M9" s="1374"/>
      <c r="N9" s="1367"/>
      <c r="O9" s="1313"/>
      <c r="P9" s="1275"/>
      <c r="Q9" s="1313"/>
      <c r="R9" s="1275"/>
      <c r="S9" s="1289"/>
      <c r="T9" s="1317"/>
      <c r="U9" s="123">
        <v>98</v>
      </c>
      <c r="V9" s="1246"/>
      <c r="W9" s="1243"/>
      <c r="X9" s="123">
        <v>79</v>
      </c>
      <c r="Y9" s="1246"/>
      <c r="Z9" s="1243"/>
      <c r="AA9" s="123">
        <v>81</v>
      </c>
      <c r="AB9" s="1364"/>
      <c r="AC9" s="1317"/>
      <c r="AD9" s="1289"/>
      <c r="AE9" s="1389"/>
    </row>
    <row r="10" spans="1:31">
      <c r="A10" s="15" t="s">
        <v>41</v>
      </c>
      <c r="B10" s="121">
        <v>852</v>
      </c>
      <c r="C10" s="121">
        <v>980</v>
      </c>
      <c r="D10" s="121">
        <v>6300</v>
      </c>
      <c r="E10" s="120">
        <v>936</v>
      </c>
      <c r="F10" s="121">
        <v>952</v>
      </c>
      <c r="G10" s="122">
        <v>6263</v>
      </c>
      <c r="H10" s="121">
        <v>742</v>
      </c>
      <c r="I10" s="393">
        <v>700</v>
      </c>
      <c r="J10" s="391">
        <v>5677</v>
      </c>
      <c r="K10" s="393">
        <v>960</v>
      </c>
      <c r="L10" s="393">
        <v>7631</v>
      </c>
      <c r="M10" s="1374"/>
      <c r="N10" s="1367"/>
      <c r="O10" s="1313"/>
      <c r="P10" s="1275"/>
      <c r="Q10" s="1313"/>
      <c r="R10" s="1275"/>
      <c r="S10" s="1289"/>
      <c r="T10" s="1317"/>
      <c r="U10" s="123">
        <v>45</v>
      </c>
      <c r="V10" s="1246"/>
      <c r="W10" s="1243"/>
      <c r="X10" s="123">
        <v>26</v>
      </c>
      <c r="Y10" s="1246"/>
      <c r="Z10" s="1243"/>
      <c r="AA10" s="123">
        <v>22</v>
      </c>
      <c r="AB10" s="1364"/>
      <c r="AC10" s="1317"/>
      <c r="AD10" s="1289"/>
      <c r="AE10" s="1389"/>
    </row>
    <row r="11" spans="1:31">
      <c r="A11" s="15" t="s">
        <v>42</v>
      </c>
      <c r="B11" s="121">
        <v>1629</v>
      </c>
      <c r="C11" s="121">
        <v>1288</v>
      </c>
      <c r="D11" s="121">
        <v>7691</v>
      </c>
      <c r="E11" s="120">
        <v>902</v>
      </c>
      <c r="F11" s="121">
        <v>764</v>
      </c>
      <c r="G11" s="122">
        <v>5406</v>
      </c>
      <c r="H11" s="121">
        <v>973</v>
      </c>
      <c r="I11" s="393">
        <v>878</v>
      </c>
      <c r="J11" s="391">
        <v>6581</v>
      </c>
      <c r="K11" s="393">
        <v>1187</v>
      </c>
      <c r="L11" s="393">
        <v>8799</v>
      </c>
      <c r="M11" s="1374"/>
      <c r="N11" s="1367"/>
      <c r="O11" s="1313"/>
      <c r="P11" s="1275"/>
      <c r="Q11" s="1313"/>
      <c r="R11" s="1275"/>
      <c r="S11" s="1289"/>
      <c r="T11" s="1317"/>
      <c r="U11" s="123">
        <v>56</v>
      </c>
      <c r="V11" s="1246"/>
      <c r="W11" s="1243"/>
      <c r="X11" s="123">
        <v>23</v>
      </c>
      <c r="Y11" s="1246"/>
      <c r="Z11" s="1243"/>
      <c r="AA11" s="123">
        <v>25</v>
      </c>
      <c r="AB11" s="1364"/>
      <c r="AC11" s="1317"/>
      <c r="AD11" s="1289"/>
      <c r="AE11" s="1389"/>
    </row>
    <row r="12" spans="1:31">
      <c r="A12" s="15" t="s">
        <v>43</v>
      </c>
      <c r="B12" s="121">
        <v>4208</v>
      </c>
      <c r="C12" s="121">
        <v>4332</v>
      </c>
      <c r="D12" s="121">
        <v>21444</v>
      </c>
      <c r="E12" s="120">
        <v>4728</v>
      </c>
      <c r="F12" s="121">
        <v>4736</v>
      </c>
      <c r="G12" s="122">
        <v>23495</v>
      </c>
      <c r="H12" s="121">
        <v>4660</v>
      </c>
      <c r="I12" s="393">
        <v>4660</v>
      </c>
      <c r="J12" s="391">
        <v>25800</v>
      </c>
      <c r="K12" s="393">
        <v>4146</v>
      </c>
      <c r="L12" s="393">
        <v>24024</v>
      </c>
      <c r="M12" s="1374"/>
      <c r="N12" s="1367"/>
      <c r="O12" s="1313"/>
      <c r="P12" s="1275"/>
      <c r="Q12" s="1313"/>
      <c r="R12" s="1275"/>
      <c r="S12" s="1289"/>
      <c r="T12" s="1317"/>
      <c r="U12" s="123">
        <v>82</v>
      </c>
      <c r="V12" s="1246"/>
      <c r="W12" s="1243"/>
      <c r="X12" s="123">
        <v>109</v>
      </c>
      <c r="Y12" s="1246"/>
      <c r="Z12" s="1243"/>
      <c r="AA12" s="123">
        <v>78</v>
      </c>
      <c r="AB12" s="1364"/>
      <c r="AC12" s="1317"/>
      <c r="AD12" s="1289"/>
      <c r="AE12" s="1389"/>
    </row>
    <row r="13" spans="1:31">
      <c r="A13" s="15" t="s">
        <v>44</v>
      </c>
      <c r="B13" s="121">
        <v>4805</v>
      </c>
      <c r="C13" s="121">
        <v>4791</v>
      </c>
      <c r="D13" s="121">
        <v>23518</v>
      </c>
      <c r="E13" s="120">
        <v>3568</v>
      </c>
      <c r="F13" s="121">
        <v>3770</v>
      </c>
      <c r="G13" s="122">
        <v>19096</v>
      </c>
      <c r="H13" s="121">
        <v>4417</v>
      </c>
      <c r="I13" s="393">
        <v>4473</v>
      </c>
      <c r="J13" s="391">
        <v>24850</v>
      </c>
      <c r="K13" s="393">
        <v>4047</v>
      </c>
      <c r="L13" s="393">
        <v>21090</v>
      </c>
      <c r="M13" s="1374"/>
      <c r="N13" s="1367"/>
      <c r="O13" s="1313"/>
      <c r="P13" s="1275"/>
      <c r="Q13" s="1313"/>
      <c r="R13" s="1275"/>
      <c r="S13" s="1289"/>
      <c r="T13" s="1317"/>
      <c r="U13" s="123">
        <v>90</v>
      </c>
      <c r="V13" s="1246"/>
      <c r="W13" s="1243"/>
      <c r="X13" s="123">
        <v>52</v>
      </c>
      <c r="Y13" s="1246"/>
      <c r="Z13" s="1243"/>
      <c r="AA13" s="123">
        <v>69</v>
      </c>
      <c r="AB13" s="1364"/>
      <c r="AC13" s="1317"/>
      <c r="AD13" s="1289"/>
      <c r="AE13" s="1389"/>
    </row>
    <row r="14" spans="1:31">
      <c r="A14" s="15" t="s">
        <v>45</v>
      </c>
      <c r="B14" s="121">
        <v>5423</v>
      </c>
      <c r="C14" s="121">
        <v>5592</v>
      </c>
      <c r="D14" s="121">
        <v>27137</v>
      </c>
      <c r="E14" s="120">
        <v>3529</v>
      </c>
      <c r="F14" s="121">
        <v>3300</v>
      </c>
      <c r="G14" s="122">
        <v>16955</v>
      </c>
      <c r="H14" s="121">
        <v>5906</v>
      </c>
      <c r="I14" s="393">
        <v>5897</v>
      </c>
      <c r="J14" s="391">
        <v>32086</v>
      </c>
      <c r="K14" s="393">
        <v>4946</v>
      </c>
      <c r="L14" s="393">
        <v>25178</v>
      </c>
      <c r="M14" s="1374"/>
      <c r="N14" s="1367"/>
      <c r="O14" s="1313"/>
      <c r="P14" s="1275"/>
      <c r="Q14" s="1313"/>
      <c r="R14" s="1275"/>
      <c r="S14" s="1289"/>
      <c r="T14" s="1317"/>
      <c r="U14" s="123">
        <v>94</v>
      </c>
      <c r="V14" s="1246"/>
      <c r="W14" s="1243"/>
      <c r="X14" s="123">
        <v>47</v>
      </c>
      <c r="Y14" s="1246"/>
      <c r="Z14" s="1243"/>
      <c r="AA14" s="123">
        <v>81</v>
      </c>
      <c r="AB14" s="1364"/>
      <c r="AC14" s="1317"/>
      <c r="AD14" s="1289"/>
      <c r="AE14" s="1389"/>
    </row>
    <row r="15" spans="1:31">
      <c r="A15" s="16" t="s">
        <v>46</v>
      </c>
      <c r="B15" s="121">
        <v>4085</v>
      </c>
      <c r="C15" s="121">
        <v>4377</v>
      </c>
      <c r="D15" s="121">
        <v>21648</v>
      </c>
      <c r="E15" s="120">
        <v>3815</v>
      </c>
      <c r="F15" s="121">
        <v>4231</v>
      </c>
      <c r="G15" s="122">
        <v>21195</v>
      </c>
      <c r="H15" s="121">
        <v>4499</v>
      </c>
      <c r="I15" s="393">
        <v>4730</v>
      </c>
      <c r="J15" s="391">
        <v>21616</v>
      </c>
      <c r="K15" s="393">
        <v>4370</v>
      </c>
      <c r="L15" s="393">
        <v>22559</v>
      </c>
      <c r="M15" s="1379"/>
      <c r="N15" s="1380"/>
      <c r="O15" s="1314"/>
      <c r="P15" s="1312"/>
      <c r="Q15" s="1314"/>
      <c r="R15" s="1312"/>
      <c r="S15" s="1290"/>
      <c r="T15" s="1318"/>
      <c r="U15" s="123">
        <v>73</v>
      </c>
      <c r="V15" s="1251"/>
      <c r="W15" s="1244"/>
      <c r="X15" s="123">
        <v>59</v>
      </c>
      <c r="Y15" s="1251"/>
      <c r="Z15" s="1244"/>
      <c r="AA15" s="123">
        <v>52</v>
      </c>
      <c r="AB15" s="1366"/>
      <c r="AC15" s="1318"/>
      <c r="AD15" s="1290"/>
      <c r="AE15" s="1390"/>
    </row>
    <row r="16" spans="1:31">
      <c r="A16" s="13" t="s">
        <v>4</v>
      </c>
      <c r="B16" s="129">
        <v>47389</v>
      </c>
      <c r="C16" s="128">
        <v>47332</v>
      </c>
      <c r="D16" s="128">
        <v>236316</v>
      </c>
      <c r="E16" s="129">
        <v>34847</v>
      </c>
      <c r="F16" s="128">
        <v>34722</v>
      </c>
      <c r="G16" s="130">
        <v>181249</v>
      </c>
      <c r="H16" s="128">
        <v>42026</v>
      </c>
      <c r="I16" s="128">
        <f>SUM(I4:I15)</f>
        <v>41939</v>
      </c>
      <c r="J16" s="130">
        <f>SUM(J4:J15)</f>
        <v>234016</v>
      </c>
      <c r="K16" s="128">
        <f>SUM(K4:K15)</f>
        <v>47239</v>
      </c>
      <c r="L16" s="128">
        <f>SUM(L4:L15)</f>
        <v>267353</v>
      </c>
      <c r="M16" s="129">
        <f>(1652.77+138)/3.6*1000</f>
        <v>497436.11111111107</v>
      </c>
      <c r="N16" s="128">
        <v>1000255</v>
      </c>
      <c r="O16" s="129">
        <f>1460/3.6*1000</f>
        <v>405555.55555555556</v>
      </c>
      <c r="P16" s="130">
        <v>877539</v>
      </c>
      <c r="Q16" s="126">
        <f>1794/3.6*1000</f>
        <v>498333.33333333331</v>
      </c>
      <c r="R16" s="130">
        <v>1060532</v>
      </c>
      <c r="S16" s="128">
        <f>SUM(S4:S15)</f>
        <v>439453</v>
      </c>
      <c r="T16" s="128">
        <f>SUM(T4:T15)</f>
        <v>1578738.39</v>
      </c>
      <c r="U16" s="131">
        <v>1007</v>
      </c>
      <c r="V16" s="132">
        <f>V4</f>
        <v>1006</v>
      </c>
      <c r="W16" s="132">
        <v>99607</v>
      </c>
      <c r="X16" s="131">
        <v>653</v>
      </c>
      <c r="Y16" s="132">
        <f>Y4</f>
        <v>759.33</v>
      </c>
      <c r="Z16" s="133">
        <f>Z4</f>
        <v>74182.05</v>
      </c>
      <c r="AA16" s="131">
        <v>645</v>
      </c>
      <c r="AB16" s="132">
        <f>SUM(AB4:AB15)</f>
        <v>863</v>
      </c>
      <c r="AC16" s="132">
        <f>SUM(AC4:AC15)</f>
        <v>97046.06</v>
      </c>
      <c r="AD16" s="363">
        <f>SUM(AD4:AD15)</f>
        <v>723</v>
      </c>
      <c r="AE16" s="421">
        <f>SUM(AE4:AE15)</f>
        <v>81303.516999999993</v>
      </c>
    </row>
    <row r="27" spans="12:12">
      <c r="L27">
        <v>7.9</v>
      </c>
    </row>
  </sheetData>
  <mergeCells count="36">
    <mergeCell ref="AD4:AD5"/>
    <mergeCell ref="AE4:AE5"/>
    <mergeCell ref="AD6:AD15"/>
    <mergeCell ref="AE6:AE15"/>
    <mergeCell ref="AB4:AB5"/>
    <mergeCell ref="AD2:AE2"/>
    <mergeCell ref="U1:AE1"/>
    <mergeCell ref="S2:T2"/>
    <mergeCell ref="AA2:AC2"/>
    <mergeCell ref="U2:W2"/>
    <mergeCell ref="X2:Z2"/>
    <mergeCell ref="O4:O15"/>
    <mergeCell ref="AC4:AC5"/>
    <mergeCell ref="AB6:AB15"/>
    <mergeCell ref="AC6:AC15"/>
    <mergeCell ref="N4:N15"/>
    <mergeCell ref="S4:S15"/>
    <mergeCell ref="T4:T15"/>
    <mergeCell ref="Z4:Z15"/>
    <mergeCell ref="Y4:Y15"/>
    <mergeCell ref="M4:M15"/>
    <mergeCell ref="V4:V15"/>
    <mergeCell ref="W4:W15"/>
    <mergeCell ref="A1:A3"/>
    <mergeCell ref="B2:D2"/>
    <mergeCell ref="E2:G2"/>
    <mergeCell ref="H2:J2"/>
    <mergeCell ref="M2:N2"/>
    <mergeCell ref="K2:L2"/>
    <mergeCell ref="M1:T1"/>
    <mergeCell ref="B1:L1"/>
    <mergeCell ref="Q2:R2"/>
    <mergeCell ref="O2:P2"/>
    <mergeCell ref="Q4:Q15"/>
    <mergeCell ref="R4:R15"/>
    <mergeCell ref="P4:P15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workbookViewId="0">
      <selection activeCell="J31" sqref="J31"/>
    </sheetView>
  </sheetViews>
  <sheetFormatPr defaultColWidth="8.85546875" defaultRowHeight="15"/>
  <cols>
    <col min="13" max="20" width="9.140625" customWidth="1"/>
  </cols>
  <sheetData>
    <row r="1" spans="1:31">
      <c r="A1" s="1255"/>
      <c r="B1" s="1261" t="s">
        <v>64</v>
      </c>
      <c r="C1" s="1262"/>
      <c r="D1" s="1262"/>
      <c r="E1" s="1262"/>
      <c r="F1" s="1262"/>
      <c r="G1" s="1262"/>
      <c r="H1" s="1262"/>
      <c r="I1" s="1262"/>
      <c r="J1" s="1262"/>
      <c r="K1" s="1263"/>
      <c r="L1" s="1264"/>
      <c r="M1" s="1295" t="s">
        <v>58</v>
      </c>
      <c r="N1" s="1296"/>
      <c r="O1" s="1296"/>
      <c r="P1" s="1296"/>
      <c r="Q1" s="1296"/>
      <c r="R1" s="1296"/>
      <c r="S1" s="1297"/>
      <c r="T1" s="1298"/>
      <c r="U1" s="1265" t="s">
        <v>56</v>
      </c>
      <c r="V1" s="1266"/>
      <c r="W1" s="1266"/>
      <c r="X1" s="1266"/>
      <c r="Y1" s="1266"/>
      <c r="Z1" s="1266"/>
      <c r="AA1" s="1266"/>
      <c r="AB1" s="1266"/>
      <c r="AC1" s="1266"/>
      <c r="AD1" s="1267"/>
      <c r="AE1" s="1268"/>
    </row>
    <row r="2" spans="1:31">
      <c r="A2" s="1255"/>
      <c r="B2" s="1319">
        <v>2019</v>
      </c>
      <c r="C2" s="1320"/>
      <c r="D2" s="1320"/>
      <c r="E2" s="1319">
        <v>2020</v>
      </c>
      <c r="F2" s="1320"/>
      <c r="G2" s="1321"/>
      <c r="H2" s="1322">
        <v>2021</v>
      </c>
      <c r="I2" s="1320"/>
      <c r="J2" s="1321"/>
      <c r="K2" s="1319">
        <v>2022</v>
      </c>
      <c r="L2" s="1272"/>
      <c r="M2" s="1271">
        <v>2019</v>
      </c>
      <c r="N2" s="1292"/>
      <c r="O2" s="1271">
        <v>2020</v>
      </c>
      <c r="P2" s="1293"/>
      <c r="Q2" s="1294">
        <v>2021</v>
      </c>
      <c r="R2" s="1293"/>
      <c r="S2" s="1271">
        <v>2022</v>
      </c>
      <c r="T2" s="1272"/>
      <c r="U2" s="1252">
        <v>2019</v>
      </c>
      <c r="V2" s="1253"/>
      <c r="W2" s="1253"/>
      <c r="X2" s="1252">
        <v>2020</v>
      </c>
      <c r="Y2" s="1253"/>
      <c r="Z2" s="1254"/>
      <c r="AA2" s="1252">
        <v>2021</v>
      </c>
      <c r="AB2" s="1253"/>
      <c r="AC2" s="1254"/>
      <c r="AD2" s="1269">
        <v>2022</v>
      </c>
      <c r="AE2" s="1272"/>
    </row>
    <row r="3" spans="1:31" ht="30">
      <c r="A3" s="1255"/>
      <c r="B3" s="1" t="s">
        <v>1</v>
      </c>
      <c r="C3" s="2" t="s">
        <v>2</v>
      </c>
      <c r="D3" s="2" t="s">
        <v>3</v>
      </c>
      <c r="E3" s="1" t="s">
        <v>1</v>
      </c>
      <c r="F3" s="2" t="s">
        <v>2</v>
      </c>
      <c r="G3" s="3" t="s">
        <v>3</v>
      </c>
      <c r="H3" s="2" t="s">
        <v>1</v>
      </c>
      <c r="I3" s="2" t="s">
        <v>2</v>
      </c>
      <c r="J3" s="3" t="s">
        <v>3</v>
      </c>
      <c r="K3" s="2"/>
      <c r="L3" s="2"/>
      <c r="M3" s="1" t="s">
        <v>2</v>
      </c>
      <c r="N3" s="2" t="s">
        <v>3</v>
      </c>
      <c r="O3" s="1" t="s">
        <v>2</v>
      </c>
      <c r="P3" s="3" t="s">
        <v>3</v>
      </c>
      <c r="Q3" s="2" t="s">
        <v>2</v>
      </c>
      <c r="R3" s="3" t="s">
        <v>3</v>
      </c>
      <c r="S3" s="2" t="s">
        <v>150</v>
      </c>
      <c r="T3" s="2" t="s">
        <v>3</v>
      </c>
      <c r="U3" s="4" t="s">
        <v>6</v>
      </c>
      <c r="V3" s="5" t="s">
        <v>7</v>
      </c>
      <c r="W3" s="5" t="s">
        <v>3</v>
      </c>
      <c r="X3" s="4" t="s">
        <v>6</v>
      </c>
      <c r="Y3" s="5" t="s">
        <v>7</v>
      </c>
      <c r="Z3" s="6" t="s">
        <v>3</v>
      </c>
      <c r="AA3" s="4" t="s">
        <v>6</v>
      </c>
      <c r="AB3" s="5" t="s">
        <v>7</v>
      </c>
      <c r="AC3" s="6" t="s">
        <v>3</v>
      </c>
      <c r="AD3" s="367" t="s">
        <v>1</v>
      </c>
      <c r="AE3" s="368" t="s">
        <v>3</v>
      </c>
    </row>
    <row r="4" spans="1:31">
      <c r="A4" s="14" t="s">
        <v>35</v>
      </c>
      <c r="B4" s="34">
        <v>1807</v>
      </c>
      <c r="C4" s="34">
        <v>1683</v>
      </c>
      <c r="D4" s="34">
        <v>8559</v>
      </c>
      <c r="E4" s="35">
        <v>1644</v>
      </c>
      <c r="F4" s="34">
        <v>1653</v>
      </c>
      <c r="G4" s="36">
        <v>8509</v>
      </c>
      <c r="H4" s="34">
        <v>1471</v>
      </c>
      <c r="I4" s="404">
        <v>1403</v>
      </c>
      <c r="J4" s="528">
        <v>8208</v>
      </c>
      <c r="K4" s="404">
        <v>1441</v>
      </c>
      <c r="L4" s="396">
        <v>8784</v>
      </c>
      <c r="M4" s="149"/>
      <c r="N4" s="150"/>
      <c r="O4" s="1416">
        <v>118222</v>
      </c>
      <c r="P4" s="1413">
        <v>255756</v>
      </c>
      <c r="Q4" s="1419">
        <v>129722</v>
      </c>
      <c r="R4" s="1413">
        <v>275984</v>
      </c>
      <c r="S4" s="1416">
        <v>116984</v>
      </c>
      <c r="T4" s="1413">
        <v>420268</v>
      </c>
      <c r="U4" s="42">
        <v>38</v>
      </c>
      <c r="V4" s="1391">
        <v>46</v>
      </c>
      <c r="W4" s="1392">
        <v>4579.5529999999999</v>
      </c>
      <c r="X4" s="42">
        <v>35</v>
      </c>
      <c r="Y4" s="1409">
        <v>47</v>
      </c>
      <c r="Z4" s="1410">
        <v>4859.6355000000003</v>
      </c>
      <c r="AA4" s="548">
        <v>29</v>
      </c>
      <c r="AB4" s="1400">
        <v>41</v>
      </c>
      <c r="AC4" s="1402">
        <v>7405</v>
      </c>
      <c r="AD4" s="1407">
        <v>26</v>
      </c>
      <c r="AE4" s="1393">
        <v>2923.7779999999998</v>
      </c>
    </row>
    <row r="5" spans="1:31">
      <c r="A5" s="15" t="s">
        <v>36</v>
      </c>
      <c r="B5" s="33">
        <v>1355</v>
      </c>
      <c r="C5" s="33">
        <v>1339</v>
      </c>
      <c r="D5" s="33">
        <v>7004</v>
      </c>
      <c r="E5" s="37">
        <v>1464</v>
      </c>
      <c r="F5" s="33">
        <v>1428</v>
      </c>
      <c r="G5" s="38">
        <v>7485</v>
      </c>
      <c r="H5" s="33">
        <v>1116</v>
      </c>
      <c r="I5" s="172">
        <v>1167</v>
      </c>
      <c r="J5" s="391">
        <v>7009</v>
      </c>
      <c r="K5" s="172">
        <v>1296</v>
      </c>
      <c r="L5" s="393">
        <v>8038</v>
      </c>
      <c r="M5" s="151"/>
      <c r="N5" s="152"/>
      <c r="O5" s="1417"/>
      <c r="P5" s="1414"/>
      <c r="Q5" s="1420"/>
      <c r="R5" s="1414"/>
      <c r="S5" s="1422"/>
      <c r="T5" s="1424"/>
      <c r="U5" s="43">
        <v>30</v>
      </c>
      <c r="V5" s="1364"/>
      <c r="W5" s="1317"/>
      <c r="X5" s="43">
        <v>32</v>
      </c>
      <c r="Y5" s="1404"/>
      <c r="Z5" s="1394"/>
      <c r="AA5" s="549">
        <v>21</v>
      </c>
      <c r="AB5" s="1401"/>
      <c r="AC5" s="1398"/>
      <c r="AD5" s="1396"/>
      <c r="AE5" s="1394"/>
    </row>
    <row r="6" spans="1:31">
      <c r="A6" s="15" t="s">
        <v>37</v>
      </c>
      <c r="B6" s="33">
        <v>1492</v>
      </c>
      <c r="C6" s="33">
        <v>1487</v>
      </c>
      <c r="D6" s="51">
        <v>7673</v>
      </c>
      <c r="E6" s="37">
        <v>864</v>
      </c>
      <c r="F6" s="33">
        <v>866</v>
      </c>
      <c r="G6" s="38">
        <v>4925</v>
      </c>
      <c r="H6" s="33">
        <v>446</v>
      </c>
      <c r="I6" s="172">
        <v>392</v>
      </c>
      <c r="J6" s="391">
        <v>3071</v>
      </c>
      <c r="K6" s="172">
        <v>1337</v>
      </c>
      <c r="L6" s="393">
        <v>8249</v>
      </c>
      <c r="M6" s="151"/>
      <c r="N6" s="152"/>
      <c r="O6" s="1417"/>
      <c r="P6" s="1414"/>
      <c r="Q6" s="1420"/>
      <c r="R6" s="1414"/>
      <c r="S6" s="1422"/>
      <c r="T6" s="1424"/>
      <c r="U6" s="43">
        <v>72</v>
      </c>
      <c r="V6" s="1426">
        <v>370</v>
      </c>
      <c r="W6" s="1408">
        <v>36835.54</v>
      </c>
      <c r="X6" s="43">
        <v>21</v>
      </c>
      <c r="Y6" s="1403">
        <v>205</v>
      </c>
      <c r="Z6" s="1406">
        <v>36951</v>
      </c>
      <c r="AA6" s="549">
        <v>7.1</v>
      </c>
      <c r="AB6" s="1403">
        <v>253</v>
      </c>
      <c r="AC6" s="1406">
        <v>26505.29</v>
      </c>
      <c r="AD6" s="1395">
        <v>351</v>
      </c>
      <c r="AE6" s="1398">
        <v>39471</v>
      </c>
    </row>
    <row r="7" spans="1:31">
      <c r="A7" s="15" t="s">
        <v>38</v>
      </c>
      <c r="B7" s="33">
        <v>1215</v>
      </c>
      <c r="C7" s="33">
        <v>1258</v>
      </c>
      <c r="D7" s="33">
        <v>6638</v>
      </c>
      <c r="E7" s="37">
        <v>243</v>
      </c>
      <c r="F7" s="33">
        <v>209</v>
      </c>
      <c r="G7" s="38">
        <v>1933</v>
      </c>
      <c r="H7" s="33">
        <v>769</v>
      </c>
      <c r="I7" s="172">
        <v>755</v>
      </c>
      <c r="J7" s="391">
        <v>4915</v>
      </c>
      <c r="K7" s="172">
        <v>1142</v>
      </c>
      <c r="L7" s="393">
        <v>7245</v>
      </c>
      <c r="M7" s="151"/>
      <c r="N7" s="152"/>
      <c r="O7" s="1417"/>
      <c r="P7" s="1414"/>
      <c r="Q7" s="1420"/>
      <c r="R7" s="1414"/>
      <c r="S7" s="1422"/>
      <c r="T7" s="1424"/>
      <c r="U7" s="43">
        <v>37</v>
      </c>
      <c r="V7" s="1364"/>
      <c r="W7" s="1317"/>
      <c r="X7" s="43">
        <v>9.1999999999999993</v>
      </c>
      <c r="Y7" s="1401"/>
      <c r="Z7" s="1398"/>
      <c r="AA7" s="549">
        <v>14</v>
      </c>
      <c r="AB7" s="1404"/>
      <c r="AC7" s="1394"/>
      <c r="AD7" s="1396"/>
      <c r="AE7" s="1394"/>
    </row>
    <row r="8" spans="1:31">
      <c r="A8" s="15" t="s">
        <v>39</v>
      </c>
      <c r="B8" s="33">
        <v>1429</v>
      </c>
      <c r="C8" s="33">
        <v>1395</v>
      </c>
      <c r="D8" s="33">
        <v>7257</v>
      </c>
      <c r="E8" s="37">
        <v>761</v>
      </c>
      <c r="F8" s="33">
        <v>760</v>
      </c>
      <c r="G8" s="38">
        <v>4442</v>
      </c>
      <c r="H8" s="33">
        <v>1359</v>
      </c>
      <c r="I8" s="172">
        <v>1354</v>
      </c>
      <c r="J8" s="391">
        <v>7959</v>
      </c>
      <c r="K8" s="172">
        <v>1241</v>
      </c>
      <c r="L8" s="393">
        <v>7755</v>
      </c>
      <c r="M8" s="151"/>
      <c r="N8" s="152"/>
      <c r="O8" s="1417"/>
      <c r="P8" s="1414"/>
      <c r="Q8" s="1420"/>
      <c r="R8" s="1414"/>
      <c r="S8" s="1422"/>
      <c r="T8" s="1424"/>
      <c r="U8" s="43">
        <v>40</v>
      </c>
      <c r="V8" s="1364"/>
      <c r="W8" s="1317"/>
      <c r="X8" s="43">
        <v>16</v>
      </c>
      <c r="Y8" s="1401"/>
      <c r="Z8" s="1398"/>
      <c r="AA8" s="549">
        <v>33</v>
      </c>
      <c r="AB8" s="1404"/>
      <c r="AC8" s="1394"/>
      <c r="AD8" s="1396"/>
      <c r="AE8" s="1394"/>
    </row>
    <row r="9" spans="1:31">
      <c r="A9" s="15" t="s">
        <v>40</v>
      </c>
      <c r="B9" s="33">
        <v>1110</v>
      </c>
      <c r="C9" s="33">
        <v>1128</v>
      </c>
      <c r="D9" s="33">
        <v>6051</v>
      </c>
      <c r="E9" s="37">
        <v>958</v>
      </c>
      <c r="F9" s="33">
        <v>967</v>
      </c>
      <c r="G9" s="38">
        <v>5385</v>
      </c>
      <c r="H9" s="33">
        <v>1291</v>
      </c>
      <c r="I9" s="172">
        <v>1323</v>
      </c>
      <c r="J9" s="391">
        <v>7802</v>
      </c>
      <c r="K9" s="172">
        <v>1191</v>
      </c>
      <c r="L9" s="393">
        <v>7497</v>
      </c>
      <c r="M9" s="151"/>
      <c r="N9" s="152"/>
      <c r="O9" s="1417"/>
      <c r="P9" s="1414"/>
      <c r="Q9" s="1420"/>
      <c r="R9" s="1414"/>
      <c r="S9" s="1422"/>
      <c r="T9" s="1424"/>
      <c r="U9" s="43">
        <v>36</v>
      </c>
      <c r="V9" s="1364"/>
      <c r="W9" s="1317"/>
      <c r="X9" s="43">
        <v>22</v>
      </c>
      <c r="Y9" s="1401"/>
      <c r="Z9" s="1398"/>
      <c r="AA9" s="549">
        <v>34</v>
      </c>
      <c r="AB9" s="1404"/>
      <c r="AC9" s="1394"/>
      <c r="AD9" s="1396"/>
      <c r="AE9" s="1394"/>
    </row>
    <row r="10" spans="1:31">
      <c r="A10" s="15" t="s">
        <v>41</v>
      </c>
      <c r="B10" s="33">
        <v>224</v>
      </c>
      <c r="C10" s="33">
        <v>249</v>
      </c>
      <c r="D10" s="33">
        <v>2080</v>
      </c>
      <c r="E10" s="37">
        <v>214</v>
      </c>
      <c r="F10" s="33">
        <v>221</v>
      </c>
      <c r="G10" s="38">
        <v>1988</v>
      </c>
      <c r="H10" s="33">
        <v>373</v>
      </c>
      <c r="I10" s="172">
        <v>355</v>
      </c>
      <c r="J10" s="454">
        <v>2883</v>
      </c>
      <c r="K10" s="172">
        <v>192</v>
      </c>
      <c r="L10" s="393">
        <v>2357</v>
      </c>
      <c r="M10" s="151"/>
      <c r="N10" s="152"/>
      <c r="O10" s="1417"/>
      <c r="P10" s="1414"/>
      <c r="Q10" s="1420"/>
      <c r="R10" s="1414"/>
      <c r="S10" s="1422"/>
      <c r="T10" s="1424"/>
      <c r="U10" s="43">
        <v>8.1999999999999993</v>
      </c>
      <c r="V10" s="1364"/>
      <c r="W10" s="1317"/>
      <c r="X10" s="43">
        <v>6.4</v>
      </c>
      <c r="Y10" s="1401"/>
      <c r="Z10" s="1398"/>
      <c r="AA10" s="549">
        <v>7.2</v>
      </c>
      <c r="AB10" s="1404"/>
      <c r="AC10" s="1394"/>
      <c r="AD10" s="1396"/>
      <c r="AE10" s="1394"/>
    </row>
    <row r="11" spans="1:31">
      <c r="A11" s="15" t="s">
        <v>42</v>
      </c>
      <c r="B11" s="33">
        <v>785</v>
      </c>
      <c r="C11" s="33">
        <v>701</v>
      </c>
      <c r="D11" s="33">
        <v>4122</v>
      </c>
      <c r="E11" s="37">
        <v>592</v>
      </c>
      <c r="F11" s="33">
        <v>553</v>
      </c>
      <c r="G11" s="38">
        <v>3500</v>
      </c>
      <c r="H11" s="33">
        <v>853</v>
      </c>
      <c r="I11" s="172">
        <v>827</v>
      </c>
      <c r="J11" s="391">
        <v>5281</v>
      </c>
      <c r="K11" s="172">
        <v>758</v>
      </c>
      <c r="L11" s="393">
        <v>5270</v>
      </c>
      <c r="M11" s="151"/>
      <c r="N11" s="152"/>
      <c r="O11" s="1417"/>
      <c r="P11" s="1414"/>
      <c r="Q11" s="1420"/>
      <c r="R11" s="1414"/>
      <c r="S11" s="1422"/>
      <c r="T11" s="1424"/>
      <c r="U11" s="43">
        <v>17</v>
      </c>
      <c r="V11" s="1364"/>
      <c r="W11" s="1317"/>
      <c r="X11" s="43">
        <v>11</v>
      </c>
      <c r="Y11" s="1401"/>
      <c r="Z11" s="1398"/>
      <c r="AA11" s="549">
        <v>15</v>
      </c>
      <c r="AB11" s="1404"/>
      <c r="AC11" s="1394"/>
      <c r="AD11" s="1396"/>
      <c r="AE11" s="1394"/>
    </row>
    <row r="12" spans="1:31">
      <c r="A12" s="15" t="s">
        <v>43</v>
      </c>
      <c r="B12" s="33">
        <v>1364</v>
      </c>
      <c r="C12" s="33">
        <v>1402</v>
      </c>
      <c r="D12" s="33">
        <v>7289</v>
      </c>
      <c r="E12" s="37">
        <v>1319</v>
      </c>
      <c r="F12" s="33">
        <v>1310</v>
      </c>
      <c r="G12" s="38">
        <v>6947</v>
      </c>
      <c r="H12" s="33">
        <v>1352</v>
      </c>
      <c r="I12" s="172">
        <v>1350</v>
      </c>
      <c r="J12" s="454">
        <v>7939</v>
      </c>
      <c r="K12" s="172">
        <v>1128</v>
      </c>
      <c r="L12" s="393">
        <v>7173</v>
      </c>
      <c r="M12" s="151"/>
      <c r="N12" s="152"/>
      <c r="O12" s="1417"/>
      <c r="P12" s="1414"/>
      <c r="Q12" s="1420"/>
      <c r="R12" s="1414"/>
      <c r="S12" s="1422"/>
      <c r="T12" s="1424"/>
      <c r="U12" s="43">
        <v>37</v>
      </c>
      <c r="V12" s="1364"/>
      <c r="W12" s="1317"/>
      <c r="X12" s="43">
        <v>32</v>
      </c>
      <c r="Y12" s="1401"/>
      <c r="Z12" s="1398"/>
      <c r="AA12" s="549">
        <v>38</v>
      </c>
      <c r="AB12" s="1404"/>
      <c r="AC12" s="1394"/>
      <c r="AD12" s="1396"/>
      <c r="AE12" s="1394"/>
    </row>
    <row r="13" spans="1:31">
      <c r="A13" s="15" t="s">
        <v>44</v>
      </c>
      <c r="B13" s="33">
        <v>1581</v>
      </c>
      <c r="C13" s="33">
        <v>1581</v>
      </c>
      <c r="D13" s="33">
        <v>8098</v>
      </c>
      <c r="E13" s="37">
        <v>1421</v>
      </c>
      <c r="F13" s="33">
        <v>1497</v>
      </c>
      <c r="G13" s="38">
        <v>7799</v>
      </c>
      <c r="H13" s="33">
        <v>1302</v>
      </c>
      <c r="I13" s="172">
        <v>1327</v>
      </c>
      <c r="J13" s="391">
        <v>7822</v>
      </c>
      <c r="K13" s="172">
        <v>1090</v>
      </c>
      <c r="L13" s="393">
        <v>6325</v>
      </c>
      <c r="M13" s="151"/>
      <c r="N13" s="152"/>
      <c r="O13" s="1417"/>
      <c r="P13" s="1414"/>
      <c r="Q13" s="1420"/>
      <c r="R13" s="1414"/>
      <c r="S13" s="1422"/>
      <c r="T13" s="1424"/>
      <c r="U13" s="43">
        <v>39</v>
      </c>
      <c r="V13" s="1364"/>
      <c r="W13" s="1317"/>
      <c r="X13" s="43">
        <v>30</v>
      </c>
      <c r="Y13" s="1401"/>
      <c r="Z13" s="1398"/>
      <c r="AA13" s="549">
        <v>32</v>
      </c>
      <c r="AB13" s="1404"/>
      <c r="AC13" s="1394"/>
      <c r="AD13" s="1396"/>
      <c r="AE13" s="1394"/>
    </row>
    <row r="14" spans="1:31">
      <c r="A14" s="15" t="s">
        <v>45</v>
      </c>
      <c r="B14" s="33">
        <v>1494</v>
      </c>
      <c r="C14" s="33">
        <v>1542</v>
      </c>
      <c r="D14" s="33">
        <v>7921</v>
      </c>
      <c r="E14" s="37">
        <v>1204</v>
      </c>
      <c r="F14" s="33">
        <v>1137</v>
      </c>
      <c r="G14" s="38">
        <v>6159</v>
      </c>
      <c r="H14" s="33">
        <v>1375</v>
      </c>
      <c r="I14" s="172">
        <v>1362</v>
      </c>
      <c r="J14" s="391">
        <v>8000</v>
      </c>
      <c r="K14" s="177">
        <v>1109</v>
      </c>
      <c r="L14" s="393">
        <v>6411</v>
      </c>
      <c r="M14" s="151"/>
      <c r="N14" s="152"/>
      <c r="O14" s="1417"/>
      <c r="P14" s="1414"/>
      <c r="Q14" s="1420"/>
      <c r="R14" s="1414"/>
      <c r="S14" s="1422"/>
      <c r="T14" s="1424"/>
      <c r="U14" s="43">
        <v>36</v>
      </c>
      <c r="V14" s="1364"/>
      <c r="W14" s="1317"/>
      <c r="X14" s="43">
        <v>21</v>
      </c>
      <c r="Y14" s="1401"/>
      <c r="Z14" s="1398"/>
      <c r="AA14" s="549">
        <v>29</v>
      </c>
      <c r="AB14" s="1404"/>
      <c r="AC14" s="1394"/>
      <c r="AD14" s="1396"/>
      <c r="AE14" s="1394"/>
    </row>
    <row r="15" spans="1:31">
      <c r="A15" s="16" t="s">
        <v>46</v>
      </c>
      <c r="B15" s="33">
        <v>1198</v>
      </c>
      <c r="C15" s="33">
        <v>1223</v>
      </c>
      <c r="D15" s="33">
        <v>6480</v>
      </c>
      <c r="E15" s="37">
        <v>1000</v>
      </c>
      <c r="F15" s="33">
        <v>1102</v>
      </c>
      <c r="G15" s="38">
        <v>6000</v>
      </c>
      <c r="H15" s="33">
        <v>1008</v>
      </c>
      <c r="I15" s="172">
        <v>1063</v>
      </c>
      <c r="J15" s="522">
        <v>5356</v>
      </c>
      <c r="K15" s="177">
        <v>935</v>
      </c>
      <c r="L15" s="393">
        <v>5620</v>
      </c>
      <c r="M15" s="151"/>
      <c r="N15" s="152"/>
      <c r="O15" s="1418"/>
      <c r="P15" s="1415"/>
      <c r="Q15" s="1421"/>
      <c r="R15" s="1415"/>
      <c r="S15" s="1423"/>
      <c r="T15" s="1425"/>
      <c r="U15" s="43">
        <v>25</v>
      </c>
      <c r="V15" s="1366"/>
      <c r="W15" s="1318"/>
      <c r="X15" s="43">
        <v>18</v>
      </c>
      <c r="Y15" s="1411"/>
      <c r="Z15" s="1412"/>
      <c r="AA15" s="549">
        <v>20</v>
      </c>
      <c r="AB15" s="1405"/>
      <c r="AC15" s="1399"/>
      <c r="AD15" s="1397"/>
      <c r="AE15" s="1399"/>
    </row>
    <row r="16" spans="1:31">
      <c r="A16" s="13" t="s">
        <v>4</v>
      </c>
      <c r="B16" s="39">
        <v>15056</v>
      </c>
      <c r="C16" s="40">
        <v>14988</v>
      </c>
      <c r="D16" s="40">
        <v>79172</v>
      </c>
      <c r="E16" s="39">
        <v>11686</v>
      </c>
      <c r="F16" s="40">
        <v>11703</v>
      </c>
      <c r="G16" s="41">
        <v>65072</v>
      </c>
      <c r="H16" s="40">
        <v>12715</v>
      </c>
      <c r="I16" s="40">
        <f t="shared" ref="I16:N16" si="0">SUM(I4:I15)</f>
        <v>12678</v>
      </c>
      <c r="J16" s="128">
        <f t="shared" si="0"/>
        <v>76245</v>
      </c>
      <c r="K16" s="40">
        <f t="shared" si="0"/>
        <v>12860</v>
      </c>
      <c r="L16" s="128">
        <f t="shared" si="0"/>
        <v>80724</v>
      </c>
      <c r="M16" s="54">
        <f t="shared" si="0"/>
        <v>0</v>
      </c>
      <c r="N16" s="54">
        <f t="shared" si="0"/>
        <v>0</v>
      </c>
      <c r="O16" s="53">
        <v>118222</v>
      </c>
      <c r="P16" s="55">
        <v>255756</v>
      </c>
      <c r="Q16" s="54">
        <v>129722</v>
      </c>
      <c r="R16" s="55">
        <v>275984</v>
      </c>
      <c r="S16" s="54">
        <f>SUM(S4:S15)</f>
        <v>116984</v>
      </c>
      <c r="T16" s="54">
        <f>SUM(T4:T15)</f>
        <v>420268</v>
      </c>
      <c r="U16" s="44">
        <v>415</v>
      </c>
      <c r="V16" s="45">
        <f>SUM(V4:V15)</f>
        <v>416</v>
      </c>
      <c r="W16" s="45">
        <f t="shared" ref="W16:AE16" si="1">SUM(W4:W15)</f>
        <v>41415.093000000001</v>
      </c>
      <c r="X16" s="45">
        <f t="shared" si="1"/>
        <v>253.6</v>
      </c>
      <c r="Y16" s="45">
        <f t="shared" si="1"/>
        <v>252</v>
      </c>
      <c r="Z16" s="45">
        <f t="shared" si="1"/>
        <v>41810.635500000004</v>
      </c>
      <c r="AA16" s="45">
        <f t="shared" si="1"/>
        <v>279.29999999999995</v>
      </c>
      <c r="AB16" s="45">
        <f t="shared" si="1"/>
        <v>294</v>
      </c>
      <c r="AC16" s="45">
        <f t="shared" si="1"/>
        <v>33910.29</v>
      </c>
      <c r="AD16" s="45">
        <f t="shared" si="1"/>
        <v>377</v>
      </c>
      <c r="AE16" s="45">
        <f t="shared" si="1"/>
        <v>42394.777999999998</v>
      </c>
    </row>
    <row r="20" spans="4:27">
      <c r="P20">
        <f>R16/Q16</f>
        <v>2.1275034304127289</v>
      </c>
    </row>
    <row r="23" spans="4:27">
      <c r="AA23">
        <f>W16/V16</f>
        <v>99.555512019230775</v>
      </c>
    </row>
    <row r="25" spans="4:27">
      <c r="D25">
        <f>D16/C16</f>
        <v>5.2823592207099015</v>
      </c>
    </row>
  </sheetData>
  <mergeCells count="38">
    <mergeCell ref="AD2:AE2"/>
    <mergeCell ref="U1:AE1"/>
    <mergeCell ref="S2:T2"/>
    <mergeCell ref="M1:T1"/>
    <mergeCell ref="P4:P15"/>
    <mergeCell ref="O4:O15"/>
    <mergeCell ref="Q4:Q15"/>
    <mergeCell ref="R4:R15"/>
    <mergeCell ref="S4:S15"/>
    <mergeCell ref="T4:T15"/>
    <mergeCell ref="U2:W2"/>
    <mergeCell ref="X2:Z2"/>
    <mergeCell ref="AA2:AC2"/>
    <mergeCell ref="O2:P2"/>
    <mergeCell ref="Q2:R2"/>
    <mergeCell ref="V6:V15"/>
    <mergeCell ref="A1:A3"/>
    <mergeCell ref="B2:D2"/>
    <mergeCell ref="E2:G2"/>
    <mergeCell ref="H2:J2"/>
    <mergeCell ref="M2:N2"/>
    <mergeCell ref="K2:L2"/>
    <mergeCell ref="B1:L1"/>
    <mergeCell ref="V4:V5"/>
    <mergeCell ref="W4:W5"/>
    <mergeCell ref="AE4:AE5"/>
    <mergeCell ref="AD6:AD15"/>
    <mergeCell ref="AE6:AE15"/>
    <mergeCell ref="AB4:AB5"/>
    <mergeCell ref="AC4:AC5"/>
    <mergeCell ref="AB6:AB15"/>
    <mergeCell ref="AC6:AC15"/>
    <mergeCell ref="AD4:AD5"/>
    <mergeCell ref="W6:W15"/>
    <mergeCell ref="Y4:Y5"/>
    <mergeCell ref="Z4:Z5"/>
    <mergeCell ref="Y6:Y15"/>
    <mergeCell ref="Z6:Z15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6"/>
  <sheetViews>
    <sheetView workbookViewId="0">
      <pane xSplit="1" topLeftCell="B1" activePane="topRight" state="frozen"/>
      <selection pane="topRight" activeCell="AB11" sqref="AB11:AB15"/>
    </sheetView>
  </sheetViews>
  <sheetFormatPr defaultColWidth="8.85546875" defaultRowHeight="15"/>
  <cols>
    <col min="13" max="13" width="10.42578125" bestFit="1" customWidth="1"/>
    <col min="14" max="14" width="11.42578125" bestFit="1" customWidth="1"/>
    <col min="15" max="15" width="10.42578125" bestFit="1" customWidth="1"/>
    <col min="16" max="16" width="11.42578125" bestFit="1" customWidth="1"/>
    <col min="17" max="17" width="10.42578125" bestFit="1" customWidth="1"/>
    <col min="18" max="18" width="11.42578125" bestFit="1" customWidth="1"/>
    <col min="19" max="31" width="11.42578125" customWidth="1"/>
    <col min="37" max="37" width="9.42578125" bestFit="1" customWidth="1"/>
    <col min="40" max="40" width="11.85546875" bestFit="1" customWidth="1"/>
    <col min="42" max="42" width="10" bestFit="1" customWidth="1"/>
  </cols>
  <sheetData>
    <row r="1" spans="1:42">
      <c r="A1" s="1255"/>
      <c r="B1" s="1261" t="s">
        <v>47</v>
      </c>
      <c r="C1" s="1262"/>
      <c r="D1" s="1262"/>
      <c r="E1" s="1262"/>
      <c r="F1" s="1262"/>
      <c r="G1" s="1262"/>
      <c r="H1" s="1262"/>
      <c r="I1" s="1262"/>
      <c r="J1" s="1262"/>
      <c r="K1" s="1263"/>
      <c r="L1" s="1264"/>
      <c r="M1" s="1295" t="s">
        <v>65</v>
      </c>
      <c r="N1" s="1296"/>
      <c r="O1" s="1296"/>
      <c r="P1" s="1296"/>
      <c r="Q1" s="1296"/>
      <c r="R1" s="1296"/>
      <c r="S1" s="1297"/>
      <c r="T1" s="1298"/>
      <c r="U1" s="1295" t="s">
        <v>66</v>
      </c>
      <c r="V1" s="1296"/>
      <c r="W1" s="1296"/>
      <c r="X1" s="1296"/>
      <c r="Y1" s="1296"/>
      <c r="Z1" s="1296"/>
      <c r="AA1" s="1296"/>
      <c r="AB1" s="1296"/>
      <c r="AC1" s="1296"/>
      <c r="AD1" s="1297"/>
      <c r="AE1" s="1298"/>
      <c r="AF1" s="1265" t="s">
        <v>49</v>
      </c>
      <c r="AG1" s="1266"/>
      <c r="AH1" s="1266"/>
      <c r="AI1" s="1266"/>
      <c r="AJ1" s="1266"/>
      <c r="AK1" s="1266"/>
      <c r="AL1" s="1266"/>
      <c r="AM1" s="1266"/>
      <c r="AN1" s="1266"/>
      <c r="AO1" s="1267"/>
      <c r="AP1" s="1268"/>
    </row>
    <row r="2" spans="1:42">
      <c r="A2" s="1255"/>
      <c r="B2" s="1319">
        <v>2019</v>
      </c>
      <c r="C2" s="1320"/>
      <c r="D2" s="1320"/>
      <c r="E2" s="1319">
        <v>2020</v>
      </c>
      <c r="F2" s="1320"/>
      <c r="G2" s="1321"/>
      <c r="H2" s="1322">
        <v>2021</v>
      </c>
      <c r="I2" s="1320"/>
      <c r="J2" s="1321"/>
      <c r="K2" s="1319">
        <v>2022</v>
      </c>
      <c r="L2" s="1272"/>
      <c r="M2" s="1271">
        <v>2019</v>
      </c>
      <c r="N2" s="1292"/>
      <c r="O2" s="1271">
        <v>2020</v>
      </c>
      <c r="P2" s="1293"/>
      <c r="Q2" s="1294">
        <v>2021</v>
      </c>
      <c r="R2" s="1293"/>
      <c r="S2" s="1271">
        <v>2022</v>
      </c>
      <c r="T2" s="1272"/>
      <c r="U2" s="1348">
        <v>2019</v>
      </c>
      <c r="V2" s="1349"/>
      <c r="W2" s="1349"/>
      <c r="X2" s="1348">
        <v>2020</v>
      </c>
      <c r="Y2" s="1349"/>
      <c r="Z2" s="1350"/>
      <c r="AA2" s="1351">
        <v>2021</v>
      </c>
      <c r="AB2" s="1351"/>
      <c r="AC2" s="1352"/>
      <c r="AD2" s="1348">
        <v>2022</v>
      </c>
      <c r="AE2" s="1353"/>
      <c r="AF2" s="1383">
        <v>2019</v>
      </c>
      <c r="AG2" s="1384"/>
      <c r="AH2" s="1384"/>
      <c r="AI2" s="1383">
        <v>2020</v>
      </c>
      <c r="AJ2" s="1384"/>
      <c r="AK2" s="1385"/>
      <c r="AL2" s="1383">
        <v>2021</v>
      </c>
      <c r="AM2" s="1384"/>
      <c r="AN2" s="1385"/>
      <c r="AO2" s="1269">
        <v>2022</v>
      </c>
      <c r="AP2" s="1272"/>
    </row>
    <row r="3" spans="1:42" ht="30">
      <c r="A3" s="1255"/>
      <c r="B3" s="1" t="s">
        <v>1</v>
      </c>
      <c r="C3" s="2" t="s">
        <v>2</v>
      </c>
      <c r="D3" s="2" t="s">
        <v>3</v>
      </c>
      <c r="E3" s="1" t="s">
        <v>1</v>
      </c>
      <c r="F3" s="2" t="s">
        <v>2</v>
      </c>
      <c r="G3" s="3" t="s">
        <v>3</v>
      </c>
      <c r="H3" s="2" t="s">
        <v>1</v>
      </c>
      <c r="I3" s="2" t="s">
        <v>2</v>
      </c>
      <c r="J3" s="3" t="s">
        <v>3</v>
      </c>
      <c r="K3" s="2" t="s">
        <v>1</v>
      </c>
      <c r="L3" s="2" t="s">
        <v>3</v>
      </c>
      <c r="M3" s="1" t="s">
        <v>2</v>
      </c>
      <c r="N3" s="2" t="s">
        <v>3</v>
      </c>
      <c r="O3" s="1" t="s">
        <v>2</v>
      </c>
      <c r="P3" s="3" t="s">
        <v>3</v>
      </c>
      <c r="Q3" s="2" t="s">
        <v>2</v>
      </c>
      <c r="R3" s="3" t="s">
        <v>3</v>
      </c>
      <c r="S3" s="60" t="s">
        <v>1</v>
      </c>
      <c r="T3" s="60" t="s">
        <v>3</v>
      </c>
      <c r="U3" s="56" t="s">
        <v>1</v>
      </c>
      <c r="V3" s="57" t="s">
        <v>2</v>
      </c>
      <c r="W3" s="57" t="s">
        <v>3</v>
      </c>
      <c r="X3" s="56" t="s">
        <v>1</v>
      </c>
      <c r="Y3" s="57" t="s">
        <v>2</v>
      </c>
      <c r="Z3" s="58" t="s">
        <v>3</v>
      </c>
      <c r="AA3" s="57" t="s">
        <v>67</v>
      </c>
      <c r="AB3" s="57" t="s">
        <v>2</v>
      </c>
      <c r="AC3" s="58" t="s">
        <v>3</v>
      </c>
      <c r="AD3" s="57"/>
      <c r="AE3" s="57"/>
      <c r="AF3" s="7" t="s">
        <v>6</v>
      </c>
      <c r="AG3" s="8" t="s">
        <v>7</v>
      </c>
      <c r="AH3" s="8" t="s">
        <v>3</v>
      </c>
      <c r="AI3" s="7" t="s">
        <v>6</v>
      </c>
      <c r="AJ3" s="8" t="s">
        <v>7</v>
      </c>
      <c r="AK3" s="9" t="s">
        <v>3</v>
      </c>
      <c r="AL3" s="7" t="s">
        <v>6</v>
      </c>
      <c r="AM3" s="8" t="s">
        <v>7</v>
      </c>
      <c r="AN3" s="9" t="s">
        <v>3</v>
      </c>
      <c r="AO3" s="367" t="s">
        <v>1</v>
      </c>
      <c r="AP3" s="368" t="s">
        <v>3</v>
      </c>
    </row>
    <row r="4" spans="1:42">
      <c r="A4" s="14" t="s">
        <v>35</v>
      </c>
      <c r="B4" s="34">
        <v>14450</v>
      </c>
      <c r="C4" s="34">
        <v>14199</v>
      </c>
      <c r="D4" s="34">
        <v>66024</v>
      </c>
      <c r="E4" s="35">
        <v>13395</v>
      </c>
      <c r="F4" s="34">
        <v>13723</v>
      </c>
      <c r="G4" s="36">
        <v>64422</v>
      </c>
      <c r="H4" s="34">
        <v>9084</v>
      </c>
      <c r="I4" s="34">
        <v>10124</v>
      </c>
      <c r="J4" s="36">
        <v>53567</v>
      </c>
      <c r="K4" s="404">
        <v>12250</v>
      </c>
      <c r="L4" s="404">
        <v>65721.61</v>
      </c>
      <c r="M4" s="1419">
        <v>383472</v>
      </c>
      <c r="N4" s="1460">
        <v>874543</v>
      </c>
      <c r="O4" s="1419">
        <v>369942</v>
      </c>
      <c r="P4" s="1460">
        <v>800313</v>
      </c>
      <c r="Q4" s="1419">
        <v>419444</v>
      </c>
      <c r="R4" s="1460">
        <v>892478</v>
      </c>
      <c r="S4" s="1463">
        <v>381986</v>
      </c>
      <c r="T4" s="1464">
        <v>1372289.69</v>
      </c>
      <c r="U4" s="47">
        <v>7958</v>
      </c>
      <c r="V4" s="1458">
        <v>48324.17</v>
      </c>
      <c r="W4" s="1459">
        <v>63385.13</v>
      </c>
      <c r="X4" s="68">
        <v>7402</v>
      </c>
      <c r="Y4" s="1458">
        <v>42145</v>
      </c>
      <c r="Z4" s="1459">
        <v>41575.4</v>
      </c>
      <c r="AA4" s="48">
        <v>5199</v>
      </c>
      <c r="AB4" s="585">
        <v>11260</v>
      </c>
      <c r="AC4" s="1340">
        <v>38201.730000000003</v>
      </c>
      <c r="AD4" s="584">
        <v>11450.35</v>
      </c>
      <c r="AE4" s="1340">
        <v>38853.584000000003</v>
      </c>
      <c r="AF4" s="1437">
        <v>2404</v>
      </c>
      <c r="AG4" s="1391">
        <v>568</v>
      </c>
      <c r="AH4" s="1392">
        <v>56547.519999999997</v>
      </c>
      <c r="AI4" s="1437">
        <v>921</v>
      </c>
      <c r="AJ4" s="1391">
        <v>921</v>
      </c>
      <c r="AK4" s="1441">
        <v>95140</v>
      </c>
      <c r="AL4" s="1437">
        <v>350</v>
      </c>
      <c r="AM4" s="1447">
        <v>1183.73</v>
      </c>
      <c r="AN4" s="1444">
        <v>37238.839999999997</v>
      </c>
      <c r="AO4" s="1427">
        <v>366</v>
      </c>
      <c r="AP4" s="1429">
        <v>41157.798000000003</v>
      </c>
    </row>
    <row r="5" spans="1:42">
      <c r="A5" s="15" t="s">
        <v>36</v>
      </c>
      <c r="B5" s="33">
        <v>11241</v>
      </c>
      <c r="C5" s="33">
        <v>11479</v>
      </c>
      <c r="D5" s="33">
        <v>53735</v>
      </c>
      <c r="E5" s="37">
        <v>12713</v>
      </c>
      <c r="F5" s="33">
        <v>12127</v>
      </c>
      <c r="G5" s="38">
        <v>57154</v>
      </c>
      <c r="H5" s="33">
        <v>8532</v>
      </c>
      <c r="I5" s="172">
        <v>9054</v>
      </c>
      <c r="J5" s="406">
        <v>48129.81</v>
      </c>
      <c r="K5" s="172">
        <v>11206</v>
      </c>
      <c r="L5" s="172">
        <v>60349.96</v>
      </c>
      <c r="M5" s="1420"/>
      <c r="N5" s="1461"/>
      <c r="O5" s="1420"/>
      <c r="P5" s="1461"/>
      <c r="Q5" s="1420"/>
      <c r="R5" s="1461"/>
      <c r="S5" s="1355"/>
      <c r="T5" s="1358"/>
      <c r="U5" s="50">
        <v>6043</v>
      </c>
      <c r="V5" s="1452"/>
      <c r="W5" s="1454"/>
      <c r="X5" s="71">
        <v>6862</v>
      </c>
      <c r="Y5" s="1452"/>
      <c r="Z5" s="1454"/>
      <c r="AA5" s="51">
        <v>5939</v>
      </c>
      <c r="AB5" s="580">
        <v>10392</v>
      </c>
      <c r="AC5" s="1388"/>
      <c r="AD5" s="579">
        <v>9199.6</v>
      </c>
      <c r="AE5" s="1317"/>
      <c r="AF5" s="1438"/>
      <c r="AG5" s="1426"/>
      <c r="AH5" s="1408"/>
      <c r="AI5" s="1438"/>
      <c r="AJ5" s="1426"/>
      <c r="AK5" s="1442"/>
      <c r="AL5" s="1438"/>
      <c r="AM5" s="1448"/>
      <c r="AN5" s="1445"/>
      <c r="AO5" s="1428"/>
      <c r="AP5" s="1430"/>
    </row>
    <row r="6" spans="1:42">
      <c r="A6" s="15" t="s">
        <v>37</v>
      </c>
      <c r="B6" s="33">
        <v>15310</v>
      </c>
      <c r="C6" s="33">
        <v>14992</v>
      </c>
      <c r="D6" s="51">
        <v>69607</v>
      </c>
      <c r="E6" s="37">
        <v>8832</v>
      </c>
      <c r="F6" s="33">
        <v>8860</v>
      </c>
      <c r="G6" s="38">
        <v>42276</v>
      </c>
      <c r="H6" s="33">
        <v>8312</v>
      </c>
      <c r="I6" s="172">
        <v>8097</v>
      </c>
      <c r="J6" s="406">
        <v>43266.62</v>
      </c>
      <c r="K6" s="172">
        <v>12324</v>
      </c>
      <c r="L6" s="172">
        <v>66102.350000000006</v>
      </c>
      <c r="M6" s="1420"/>
      <c r="N6" s="1461"/>
      <c r="O6" s="1420"/>
      <c r="P6" s="1461"/>
      <c r="Q6" s="1420"/>
      <c r="R6" s="1461"/>
      <c r="S6" s="1355"/>
      <c r="T6" s="1358"/>
      <c r="U6" s="50">
        <v>7534</v>
      </c>
      <c r="V6" s="1452"/>
      <c r="W6" s="1454"/>
      <c r="X6" s="71">
        <v>5058</v>
      </c>
      <c r="Y6" s="1452"/>
      <c r="Z6" s="1454"/>
      <c r="AA6" s="51">
        <v>5942</v>
      </c>
      <c r="AB6" s="580">
        <v>9342</v>
      </c>
      <c r="AC6" s="1388"/>
      <c r="AD6" s="579">
        <v>10222.370000000001</v>
      </c>
      <c r="AE6" s="1317"/>
      <c r="AF6" s="1438"/>
      <c r="AG6" s="1426"/>
      <c r="AH6" s="1408"/>
      <c r="AI6" s="1438"/>
      <c r="AJ6" s="1426"/>
      <c r="AK6" s="1442"/>
      <c r="AL6" s="1438"/>
      <c r="AM6" s="1448"/>
      <c r="AN6" s="1445"/>
      <c r="AO6" s="1428"/>
      <c r="AP6" s="1430"/>
    </row>
    <row r="7" spans="1:42">
      <c r="A7" s="15" t="s">
        <v>38</v>
      </c>
      <c r="B7" s="33">
        <v>13868</v>
      </c>
      <c r="C7" s="33">
        <v>13985</v>
      </c>
      <c r="D7" s="33">
        <v>65057</v>
      </c>
      <c r="E7" s="37">
        <v>5678</v>
      </c>
      <c r="F7" s="33">
        <v>5807</v>
      </c>
      <c r="G7" s="38">
        <v>28372</v>
      </c>
      <c r="H7" s="33">
        <v>8532</v>
      </c>
      <c r="I7" s="172">
        <v>8728</v>
      </c>
      <c r="J7" s="406">
        <v>46473.16</v>
      </c>
      <c r="K7" s="172">
        <v>11764</v>
      </c>
      <c r="L7" s="172">
        <v>63221.01</v>
      </c>
      <c r="M7" s="1420"/>
      <c r="N7" s="1461"/>
      <c r="O7" s="1420"/>
      <c r="P7" s="1461"/>
      <c r="Q7" s="1420"/>
      <c r="R7" s="1461"/>
      <c r="S7" s="1355"/>
      <c r="T7" s="1358"/>
      <c r="U7" s="50">
        <v>6784</v>
      </c>
      <c r="V7" s="1452"/>
      <c r="W7" s="1454"/>
      <c r="X7" s="71">
        <v>3006</v>
      </c>
      <c r="Y7" s="1452"/>
      <c r="Z7" s="1454"/>
      <c r="AA7" s="51">
        <v>5447</v>
      </c>
      <c r="AB7" s="580">
        <v>7050</v>
      </c>
      <c r="AC7" s="1388"/>
      <c r="AD7" s="579">
        <v>7464.81</v>
      </c>
      <c r="AE7" s="1317"/>
      <c r="AF7" s="1438"/>
      <c r="AG7" s="1426">
        <v>1836</v>
      </c>
      <c r="AH7" s="1408">
        <v>182783.88</v>
      </c>
      <c r="AI7" s="1438"/>
      <c r="AJ7" s="1426"/>
      <c r="AK7" s="1442"/>
      <c r="AL7" s="178"/>
      <c r="AM7" s="1449">
        <v>1589</v>
      </c>
      <c r="AN7" s="1434">
        <v>166470</v>
      </c>
      <c r="AO7" s="1428">
        <f>185+1546</f>
        <v>1731</v>
      </c>
      <c r="AP7" s="1430">
        <v>194656.14</v>
      </c>
    </row>
    <row r="8" spans="1:42">
      <c r="A8" s="15" t="s">
        <v>39</v>
      </c>
      <c r="B8" s="33">
        <v>15711</v>
      </c>
      <c r="C8" s="33">
        <v>15734</v>
      </c>
      <c r="D8" s="33">
        <v>72959</v>
      </c>
      <c r="E8" s="37">
        <v>6518</v>
      </c>
      <c r="F8" s="33">
        <v>6311</v>
      </c>
      <c r="G8" s="38">
        <v>30668</v>
      </c>
      <c r="H8" s="33">
        <v>11207</v>
      </c>
      <c r="I8" s="172">
        <v>11026</v>
      </c>
      <c r="J8" s="406">
        <v>58150.92</v>
      </c>
      <c r="K8" s="172">
        <v>13512</v>
      </c>
      <c r="L8" s="172">
        <v>72214.929999999993</v>
      </c>
      <c r="M8" s="1420"/>
      <c r="N8" s="1461"/>
      <c r="O8" s="1420"/>
      <c r="P8" s="1461"/>
      <c r="Q8" s="1420"/>
      <c r="R8" s="1461"/>
      <c r="S8" s="1355"/>
      <c r="T8" s="1358"/>
      <c r="U8" s="50">
        <v>7592</v>
      </c>
      <c r="V8" s="1452"/>
      <c r="W8" s="1454"/>
      <c r="X8" s="71">
        <v>3345</v>
      </c>
      <c r="Y8" s="1452"/>
      <c r="Z8" s="1454"/>
      <c r="AA8" s="51">
        <v>6752</v>
      </c>
      <c r="AB8" s="580">
        <v>4543</v>
      </c>
      <c r="AC8" s="1388"/>
      <c r="AD8" s="579">
        <v>3533.13</v>
      </c>
      <c r="AE8" s="1317"/>
      <c r="AF8" s="1438"/>
      <c r="AG8" s="1426"/>
      <c r="AH8" s="1408"/>
      <c r="AI8" s="1438"/>
      <c r="AJ8" s="1426"/>
      <c r="AK8" s="1442"/>
      <c r="AL8" s="178"/>
      <c r="AM8" s="1450"/>
      <c r="AN8" s="1435"/>
      <c r="AO8" s="1428"/>
      <c r="AP8" s="1430"/>
    </row>
    <row r="9" spans="1:42">
      <c r="A9" s="15" t="s">
        <v>40</v>
      </c>
      <c r="B9" s="33">
        <v>15216</v>
      </c>
      <c r="C9" s="33">
        <v>15241</v>
      </c>
      <c r="D9" s="33">
        <v>70732</v>
      </c>
      <c r="E9" s="37">
        <v>8644</v>
      </c>
      <c r="F9" s="33">
        <v>8725</v>
      </c>
      <c r="G9" s="38">
        <v>41661</v>
      </c>
      <c r="H9" s="33">
        <v>13791</v>
      </c>
      <c r="I9" s="172">
        <v>13987</v>
      </c>
      <c r="J9" s="406">
        <v>73197.820000000007</v>
      </c>
      <c r="K9" s="172">
        <v>14344</v>
      </c>
      <c r="L9" s="172">
        <v>76495.78</v>
      </c>
      <c r="M9" s="1420"/>
      <c r="N9" s="1461"/>
      <c r="O9" s="1420"/>
      <c r="P9" s="1461"/>
      <c r="Q9" s="1420"/>
      <c r="R9" s="1461"/>
      <c r="S9" s="1355"/>
      <c r="T9" s="1358"/>
      <c r="U9" s="50">
        <v>6207</v>
      </c>
      <c r="V9" s="1452"/>
      <c r="W9" s="1454"/>
      <c r="X9" s="71">
        <v>4529</v>
      </c>
      <c r="Y9" s="1452"/>
      <c r="Z9" s="1454"/>
      <c r="AA9" s="51">
        <v>7118</v>
      </c>
      <c r="AB9" s="580">
        <v>2411</v>
      </c>
      <c r="AC9" s="1388"/>
      <c r="AD9" s="579">
        <v>2499.04</v>
      </c>
      <c r="AE9" s="1317"/>
      <c r="AF9" s="1438"/>
      <c r="AG9" s="1426"/>
      <c r="AH9" s="1408"/>
      <c r="AI9" s="1438">
        <v>1073</v>
      </c>
      <c r="AJ9" s="1426">
        <v>1073</v>
      </c>
      <c r="AK9" s="1442">
        <v>110944.45</v>
      </c>
      <c r="AL9" s="178"/>
      <c r="AM9" s="1450"/>
      <c r="AN9" s="1435"/>
      <c r="AO9" s="1428"/>
      <c r="AP9" s="1430"/>
    </row>
    <row r="10" spans="1:42">
      <c r="A10" s="15" t="s">
        <v>41</v>
      </c>
      <c r="B10" s="33">
        <v>2943</v>
      </c>
      <c r="C10" s="33">
        <v>2534</v>
      </c>
      <c r="D10" s="33">
        <v>13321</v>
      </c>
      <c r="E10" s="37">
        <v>4891</v>
      </c>
      <c r="F10" s="33">
        <v>5264</v>
      </c>
      <c r="G10" s="38">
        <v>25899</v>
      </c>
      <c r="H10" s="33">
        <v>5102</v>
      </c>
      <c r="I10" s="172">
        <v>5158</v>
      </c>
      <c r="J10" s="406">
        <v>28331.5</v>
      </c>
      <c r="K10" s="172">
        <v>4465</v>
      </c>
      <c r="L10" s="172">
        <v>25665.78</v>
      </c>
      <c r="M10" s="1420"/>
      <c r="N10" s="1461"/>
      <c r="O10" s="1420"/>
      <c r="P10" s="1461"/>
      <c r="Q10" s="1420"/>
      <c r="R10" s="1461"/>
      <c r="S10" s="1355"/>
      <c r="T10" s="1358"/>
      <c r="U10" s="50">
        <v>1690</v>
      </c>
      <c r="V10" s="1452"/>
      <c r="W10" s="1454"/>
      <c r="X10" s="71">
        <v>3238</v>
      </c>
      <c r="Y10" s="1452"/>
      <c r="Z10" s="1454"/>
      <c r="AA10" s="51">
        <v>2879</v>
      </c>
      <c r="AB10" s="580">
        <f>2036+280.06</f>
        <v>2316.06</v>
      </c>
      <c r="AC10" s="1388"/>
      <c r="AD10" s="579">
        <v>2369</v>
      </c>
      <c r="AE10" s="1317"/>
      <c r="AF10" s="1438"/>
      <c r="AG10" s="1426"/>
      <c r="AH10" s="1408"/>
      <c r="AI10" s="1438"/>
      <c r="AJ10" s="1426"/>
      <c r="AK10" s="1442"/>
      <c r="AL10" s="178"/>
      <c r="AM10" s="1450"/>
      <c r="AN10" s="1435"/>
      <c r="AO10" s="1428"/>
      <c r="AP10" s="1430"/>
    </row>
    <row r="11" spans="1:42">
      <c r="A11" s="15" t="s">
        <v>42</v>
      </c>
      <c r="B11" s="33">
        <v>4200</v>
      </c>
      <c r="C11" s="33">
        <v>4134</v>
      </c>
      <c r="D11" s="33">
        <v>20550</v>
      </c>
      <c r="E11" s="37">
        <v>4247</v>
      </c>
      <c r="F11" s="33">
        <v>3614</v>
      </c>
      <c r="G11" s="38">
        <v>18385</v>
      </c>
      <c r="H11" s="33">
        <v>3149</v>
      </c>
      <c r="I11" s="172">
        <v>2895</v>
      </c>
      <c r="J11" s="406">
        <v>16831.63</v>
      </c>
      <c r="K11" s="172">
        <v>2873</v>
      </c>
      <c r="L11" s="172">
        <v>17474.53</v>
      </c>
      <c r="M11" s="1420"/>
      <c r="N11" s="1461"/>
      <c r="O11" s="1420"/>
      <c r="P11" s="1461"/>
      <c r="Q11" s="1420"/>
      <c r="R11" s="1461"/>
      <c r="S11" s="1355"/>
      <c r="T11" s="1358"/>
      <c r="U11" s="50">
        <v>776</v>
      </c>
      <c r="V11" s="154">
        <v>2164</v>
      </c>
      <c r="W11" s="154">
        <v>2512.6</v>
      </c>
      <c r="X11" s="71">
        <v>838</v>
      </c>
      <c r="Y11" s="1452"/>
      <c r="Z11" s="1454"/>
      <c r="AA11" s="51">
        <v>512</v>
      </c>
      <c r="AB11" s="583">
        <v>2908.37</v>
      </c>
      <c r="AC11" s="1367">
        <v>27973.25</v>
      </c>
      <c r="AD11" s="586">
        <f>86.17+2370.28</f>
        <v>2456.4500000000003</v>
      </c>
      <c r="AE11" s="1367">
        <v>27207.09</v>
      </c>
      <c r="AF11" s="1438"/>
      <c r="AG11" s="1426"/>
      <c r="AH11" s="1408"/>
      <c r="AI11" s="1438"/>
      <c r="AJ11" s="1426"/>
      <c r="AK11" s="1442"/>
      <c r="AL11" s="178"/>
      <c r="AM11" s="1450"/>
      <c r="AN11" s="1435"/>
      <c r="AO11" s="1428"/>
      <c r="AP11" s="1430"/>
    </row>
    <row r="12" spans="1:42">
      <c r="A12" s="15" t="s">
        <v>43</v>
      </c>
      <c r="B12" s="33">
        <v>13583</v>
      </c>
      <c r="C12" s="33">
        <v>13954</v>
      </c>
      <c r="D12" s="33">
        <v>64917</v>
      </c>
      <c r="E12" s="37">
        <v>11912</v>
      </c>
      <c r="F12" s="33">
        <v>11905</v>
      </c>
      <c r="G12" s="38">
        <v>56143</v>
      </c>
      <c r="H12" s="33">
        <v>13140</v>
      </c>
      <c r="I12" s="172">
        <v>13137</v>
      </c>
      <c r="J12" s="406">
        <v>68878.38</v>
      </c>
      <c r="K12" s="172">
        <v>13199</v>
      </c>
      <c r="L12" s="172">
        <v>70604.47</v>
      </c>
      <c r="M12" s="1420"/>
      <c r="N12" s="1461"/>
      <c r="O12" s="1420"/>
      <c r="P12" s="1461"/>
      <c r="Q12" s="1420"/>
      <c r="R12" s="1461"/>
      <c r="S12" s="1355"/>
      <c r="T12" s="1358"/>
      <c r="U12" s="50">
        <v>6932</v>
      </c>
      <c r="V12" s="1456">
        <v>28189</v>
      </c>
      <c r="W12" s="1454">
        <v>27808</v>
      </c>
      <c r="X12" s="71">
        <v>6967</v>
      </c>
      <c r="Y12" s="1452">
        <v>27674</v>
      </c>
      <c r="Z12" s="1454">
        <v>27762</v>
      </c>
      <c r="AA12" s="51">
        <v>6998</v>
      </c>
      <c r="AB12" s="581">
        <v>3371.55</v>
      </c>
      <c r="AC12" s="1317"/>
      <c r="AD12" s="577">
        <v>4316.53</v>
      </c>
      <c r="AE12" s="1388"/>
      <c r="AF12" s="1438"/>
      <c r="AG12" s="1426"/>
      <c r="AH12" s="1408"/>
      <c r="AI12" s="1438"/>
      <c r="AJ12" s="1426"/>
      <c r="AK12" s="1442"/>
      <c r="AL12" s="178"/>
      <c r="AM12" s="1450"/>
      <c r="AN12" s="1435"/>
      <c r="AO12" s="1428"/>
      <c r="AP12" s="1430"/>
    </row>
    <row r="13" spans="1:42">
      <c r="A13" s="15" t="s">
        <v>44</v>
      </c>
      <c r="B13" s="33">
        <v>14077</v>
      </c>
      <c r="C13" s="33">
        <v>14072</v>
      </c>
      <c r="D13" s="33">
        <v>65450</v>
      </c>
      <c r="E13" s="37">
        <v>10316</v>
      </c>
      <c r="F13" s="33">
        <v>10680</v>
      </c>
      <c r="G13" s="38">
        <v>50564</v>
      </c>
      <c r="H13" s="33">
        <v>13660</v>
      </c>
      <c r="I13" s="172">
        <v>13732</v>
      </c>
      <c r="J13" s="406">
        <v>71902</v>
      </c>
      <c r="K13" s="172">
        <v>12663</v>
      </c>
      <c r="L13" s="172">
        <v>60262.09</v>
      </c>
      <c r="M13" s="1420"/>
      <c r="N13" s="1461"/>
      <c r="O13" s="1420"/>
      <c r="P13" s="1461"/>
      <c r="Q13" s="1420"/>
      <c r="R13" s="1461"/>
      <c r="S13" s="1355"/>
      <c r="T13" s="1358"/>
      <c r="U13" s="50">
        <v>7850</v>
      </c>
      <c r="V13" s="1456"/>
      <c r="W13" s="1454"/>
      <c r="X13" s="71">
        <v>5627</v>
      </c>
      <c r="Y13" s="1452"/>
      <c r="Z13" s="1454"/>
      <c r="AA13" s="51">
        <v>6407</v>
      </c>
      <c r="AB13" s="581">
        <v>6441.49</v>
      </c>
      <c r="AC13" s="1317"/>
      <c r="AD13" s="577">
        <v>5153.74</v>
      </c>
      <c r="AE13" s="1388"/>
      <c r="AF13" s="1438"/>
      <c r="AG13" s="1426"/>
      <c r="AH13" s="1408"/>
      <c r="AI13" s="1438"/>
      <c r="AJ13" s="1426"/>
      <c r="AK13" s="1442"/>
      <c r="AL13" s="178"/>
      <c r="AM13" s="1450"/>
      <c r="AN13" s="1435"/>
      <c r="AO13" s="1428"/>
      <c r="AP13" s="1430"/>
    </row>
    <row r="14" spans="1:42">
      <c r="A14" s="15" t="s">
        <v>45</v>
      </c>
      <c r="B14" s="33">
        <v>14046</v>
      </c>
      <c r="C14" s="33">
        <v>14427</v>
      </c>
      <c r="D14" s="33">
        <v>67054</v>
      </c>
      <c r="E14" s="37">
        <v>8895</v>
      </c>
      <c r="F14" s="33">
        <v>8738</v>
      </c>
      <c r="G14" s="38">
        <v>41720</v>
      </c>
      <c r="H14" s="33">
        <v>13515</v>
      </c>
      <c r="I14" s="529">
        <v>13505</v>
      </c>
      <c r="J14" s="407">
        <v>58469.8</v>
      </c>
      <c r="K14" s="529">
        <v>13383</v>
      </c>
      <c r="L14" s="177">
        <v>63535.44</v>
      </c>
      <c r="M14" s="1420"/>
      <c r="N14" s="1461"/>
      <c r="O14" s="1420"/>
      <c r="P14" s="1461"/>
      <c r="Q14" s="1420"/>
      <c r="R14" s="1461"/>
      <c r="S14" s="1355"/>
      <c r="T14" s="1358"/>
      <c r="U14" s="50">
        <v>7496</v>
      </c>
      <c r="V14" s="1456"/>
      <c r="W14" s="1454"/>
      <c r="X14" s="71">
        <v>5175</v>
      </c>
      <c r="Y14" s="1452"/>
      <c r="Z14" s="1454"/>
      <c r="AA14" s="51">
        <v>7052</v>
      </c>
      <c r="AB14" s="581">
        <v>9112.8799999999992</v>
      </c>
      <c r="AC14" s="1317"/>
      <c r="AD14" s="577">
        <v>8915.75</v>
      </c>
      <c r="AE14" s="1388"/>
      <c r="AF14" s="1438"/>
      <c r="AG14" s="1426"/>
      <c r="AH14" s="1408"/>
      <c r="AI14" s="1438"/>
      <c r="AJ14" s="1426"/>
      <c r="AK14" s="1442"/>
      <c r="AL14" s="178"/>
      <c r="AM14" s="1450"/>
      <c r="AN14" s="1435"/>
      <c r="AO14" s="1428"/>
      <c r="AP14" s="1430"/>
    </row>
    <row r="15" spans="1:42">
      <c r="A15" s="16" t="s">
        <v>46</v>
      </c>
      <c r="B15" s="33">
        <v>10853</v>
      </c>
      <c r="C15" s="33">
        <v>10677</v>
      </c>
      <c r="D15" s="33">
        <v>50112</v>
      </c>
      <c r="E15" s="37">
        <v>11821</v>
      </c>
      <c r="F15" s="33">
        <v>10426</v>
      </c>
      <c r="G15" s="38">
        <v>49407</v>
      </c>
      <c r="H15" s="33">
        <v>10682</v>
      </c>
      <c r="I15" s="529">
        <v>10872</v>
      </c>
      <c r="J15" s="407">
        <v>47411.85</v>
      </c>
      <c r="K15" s="529">
        <v>12250</v>
      </c>
      <c r="L15" s="177">
        <v>65721.361000000004</v>
      </c>
      <c r="M15" s="1421"/>
      <c r="N15" s="1462"/>
      <c r="O15" s="1421"/>
      <c r="P15" s="1462"/>
      <c r="Q15" s="1421"/>
      <c r="R15" s="1462"/>
      <c r="S15" s="1356"/>
      <c r="T15" s="1359"/>
      <c r="U15" s="50">
        <v>5194</v>
      </c>
      <c r="V15" s="1457"/>
      <c r="W15" s="1455"/>
      <c r="X15" s="71">
        <v>6249</v>
      </c>
      <c r="Y15" s="1453"/>
      <c r="Z15" s="1455"/>
      <c r="AA15" s="51">
        <v>5095</v>
      </c>
      <c r="AB15" s="582">
        <v>11827.37</v>
      </c>
      <c r="AC15" s="1318"/>
      <c r="AD15" s="578">
        <v>12068.87</v>
      </c>
      <c r="AE15" s="1433"/>
      <c r="AF15" s="1439"/>
      <c r="AG15" s="1440"/>
      <c r="AH15" s="1446"/>
      <c r="AI15" s="1439"/>
      <c r="AJ15" s="1440"/>
      <c r="AK15" s="1443"/>
      <c r="AL15" s="178"/>
      <c r="AM15" s="1451"/>
      <c r="AN15" s="1436"/>
      <c r="AO15" s="1431"/>
      <c r="AP15" s="1432"/>
    </row>
    <row r="16" spans="1:42">
      <c r="A16" s="13" t="s">
        <v>4</v>
      </c>
      <c r="B16" s="39">
        <v>145498</v>
      </c>
      <c r="C16" s="40">
        <v>145428</v>
      </c>
      <c r="D16" s="40">
        <v>679520</v>
      </c>
      <c r="E16" s="39">
        <v>107862</v>
      </c>
      <c r="F16" s="40">
        <v>106180</v>
      </c>
      <c r="G16" s="41">
        <v>506671</v>
      </c>
      <c r="H16" s="40">
        <v>118705</v>
      </c>
      <c r="I16" s="40">
        <v>10124</v>
      </c>
      <c r="J16" s="130">
        <v>53567</v>
      </c>
      <c r="K16" s="40">
        <f>SUM(K4:K15)</f>
        <v>134233</v>
      </c>
      <c r="L16" s="40">
        <f>SUM(L4:L15)</f>
        <v>707369.31099999999</v>
      </c>
      <c r="M16" s="53">
        <v>383472</v>
      </c>
      <c r="N16" s="54">
        <v>874543</v>
      </c>
      <c r="O16" s="53">
        <v>369942</v>
      </c>
      <c r="P16" s="55">
        <v>800313</v>
      </c>
      <c r="Q16" s="54">
        <v>419444</v>
      </c>
      <c r="R16" s="55">
        <v>892478</v>
      </c>
      <c r="S16" s="65">
        <f>SUM(S4:S15)</f>
        <v>381986</v>
      </c>
      <c r="T16" s="65">
        <f>SUM(T4:T15)</f>
        <v>1372289.69</v>
      </c>
      <c r="U16" s="53">
        <v>72056</v>
      </c>
      <c r="V16" s="73">
        <f>V4+V11+V12</f>
        <v>78677.17</v>
      </c>
      <c r="W16" s="73">
        <f>W4+W11+W12</f>
        <v>93705.73</v>
      </c>
      <c r="X16" s="74">
        <v>58296</v>
      </c>
      <c r="Y16" s="73">
        <f>Y4+Y12</f>
        <v>69819</v>
      </c>
      <c r="Z16" s="153">
        <f>Z4+Z12</f>
        <v>69337.399999999994</v>
      </c>
      <c r="AA16" s="54">
        <v>65341</v>
      </c>
      <c r="AB16" s="199">
        <f>SUM(AB4:AB15)</f>
        <v>80975.72</v>
      </c>
      <c r="AC16" s="543">
        <f>SUM(AC4:AC15)</f>
        <v>66174.98000000001</v>
      </c>
      <c r="AD16" s="199">
        <f>SUM(AD4:AD15)</f>
        <v>79649.639999999985</v>
      </c>
      <c r="AE16" s="543">
        <f>SUM(AE4:AE15)</f>
        <v>66060.673999999999</v>
      </c>
      <c r="AF16" s="44">
        <v>2404</v>
      </c>
      <c r="AG16" s="45">
        <f>AG4+AG7</f>
        <v>2404</v>
      </c>
      <c r="AH16" s="45">
        <f>AH4+AH7</f>
        <v>239331.4</v>
      </c>
      <c r="AI16" s="44">
        <v>1993</v>
      </c>
      <c r="AJ16" s="45">
        <f>AJ4+AJ9</f>
        <v>1994</v>
      </c>
      <c r="AK16" s="155">
        <f>AK4+AK9</f>
        <v>206084.45</v>
      </c>
      <c r="AL16" s="44">
        <f>SUM(AL4:AL15)</f>
        <v>350</v>
      </c>
      <c r="AM16" s="132">
        <f>AM4</f>
        <v>1183.73</v>
      </c>
      <c r="AN16" s="133">
        <f>SUM(AN4:AN15)</f>
        <v>203708.84</v>
      </c>
      <c r="AO16" s="420">
        <f>SUM(AO4:AO15)</f>
        <v>2097</v>
      </c>
      <c r="AP16" s="421">
        <f>SUM(AP4:AP15)</f>
        <v>235813.93800000002</v>
      </c>
    </row>
  </sheetData>
  <mergeCells count="61">
    <mergeCell ref="AF1:AP1"/>
    <mergeCell ref="AO2:AP2"/>
    <mergeCell ref="AD2:AE2"/>
    <mergeCell ref="U1:AE1"/>
    <mergeCell ref="S2:T2"/>
    <mergeCell ref="M1:T1"/>
    <mergeCell ref="AA2:AC2"/>
    <mergeCell ref="AF2:AH2"/>
    <mergeCell ref="AI2:AK2"/>
    <mergeCell ref="O2:P2"/>
    <mergeCell ref="AL2:AN2"/>
    <mergeCell ref="Q2:R2"/>
    <mergeCell ref="U2:W2"/>
    <mergeCell ref="X2:Z2"/>
    <mergeCell ref="A1:A3"/>
    <mergeCell ref="B2:D2"/>
    <mergeCell ref="E2:G2"/>
    <mergeCell ref="H2:J2"/>
    <mergeCell ref="M2:N2"/>
    <mergeCell ref="K2:L2"/>
    <mergeCell ref="B1:L1"/>
    <mergeCell ref="M4:M15"/>
    <mergeCell ref="Y12:Y15"/>
    <mergeCell ref="Z12:Z15"/>
    <mergeCell ref="V12:V15"/>
    <mergeCell ref="W12:W15"/>
    <mergeCell ref="Y4:Y11"/>
    <mergeCell ref="Z4:Z11"/>
    <mergeCell ref="W4:W10"/>
    <mergeCell ref="V4:V10"/>
    <mergeCell ref="R4:R15"/>
    <mergeCell ref="Q4:Q15"/>
    <mergeCell ref="P4:P15"/>
    <mergeCell ref="O4:O15"/>
    <mergeCell ref="N4:N15"/>
    <mergeCell ref="S4:S15"/>
    <mergeCell ref="T4:T15"/>
    <mergeCell ref="AG4:AG6"/>
    <mergeCell ref="AH4:AH6"/>
    <mergeCell ref="AK9:AK15"/>
    <mergeCell ref="AJ9:AJ15"/>
    <mergeCell ref="AN4:AN6"/>
    <mergeCell ref="AH7:AH15"/>
    <mergeCell ref="AM4:AM6"/>
    <mergeCell ref="AM7:AM15"/>
    <mergeCell ref="AO4:AO6"/>
    <mergeCell ref="AP4:AP6"/>
    <mergeCell ref="AO7:AO15"/>
    <mergeCell ref="AP7:AP15"/>
    <mergeCell ref="AC11:AC15"/>
    <mergeCell ref="AE4:AE10"/>
    <mergeCell ref="AC4:AC10"/>
    <mergeCell ref="AE11:AE15"/>
    <mergeCell ref="AN7:AN15"/>
    <mergeCell ref="AF4:AF15"/>
    <mergeCell ref="AI4:AI8"/>
    <mergeCell ref="AI9:AI15"/>
    <mergeCell ref="AL4:AL6"/>
    <mergeCell ref="AG7:AG15"/>
    <mergeCell ref="AK4:AK8"/>
    <mergeCell ref="AJ4:AJ8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"/>
  <sheetViews>
    <sheetView workbookViewId="0">
      <pane xSplit="1" topLeftCell="B1" activePane="topRight" state="frozen"/>
      <selection pane="topRight" activeCell="L15" sqref="L15"/>
    </sheetView>
  </sheetViews>
  <sheetFormatPr defaultColWidth="8.85546875" defaultRowHeight="15"/>
  <cols>
    <col min="9" max="9" width="9" bestFit="1" customWidth="1"/>
    <col min="10" max="10" width="9.5703125" bestFit="1" customWidth="1"/>
    <col min="11" max="11" width="9" bestFit="1" customWidth="1"/>
    <col min="12" max="12" width="10" bestFit="1" customWidth="1"/>
    <col min="13" max="13" width="10.42578125" bestFit="1" customWidth="1"/>
    <col min="14" max="14" width="11.42578125" bestFit="1" customWidth="1"/>
    <col min="15" max="15" width="10.42578125" bestFit="1" customWidth="1"/>
    <col min="16" max="16" width="11.42578125" bestFit="1" customWidth="1"/>
    <col min="17" max="17" width="10.42578125" bestFit="1" customWidth="1"/>
    <col min="18" max="18" width="11.42578125" bestFit="1" customWidth="1"/>
    <col min="19" max="20" width="11.42578125" customWidth="1"/>
  </cols>
  <sheetData>
    <row r="1" spans="1:31" ht="15" customHeight="1">
      <c r="A1" s="1255"/>
      <c r="B1" s="1261" t="s">
        <v>0</v>
      </c>
      <c r="C1" s="1262"/>
      <c r="D1" s="1262"/>
      <c r="E1" s="1262"/>
      <c r="F1" s="1262"/>
      <c r="G1" s="1262"/>
      <c r="H1" s="1262"/>
      <c r="I1" s="1262"/>
      <c r="J1" s="1262"/>
      <c r="K1" s="1263"/>
      <c r="L1" s="1264"/>
      <c r="M1" s="1295" t="s">
        <v>89</v>
      </c>
      <c r="N1" s="1296"/>
      <c r="O1" s="1296"/>
      <c r="P1" s="1296"/>
      <c r="Q1" s="1296"/>
      <c r="R1" s="1296"/>
      <c r="S1" s="1297"/>
      <c r="T1" s="1298"/>
      <c r="U1" s="1265" t="s">
        <v>5</v>
      </c>
      <c r="V1" s="1266"/>
      <c r="W1" s="1266"/>
      <c r="X1" s="1266"/>
      <c r="Y1" s="1266"/>
      <c r="Z1" s="1266"/>
      <c r="AA1" s="1266"/>
      <c r="AB1" s="1266"/>
      <c r="AC1" s="1266"/>
      <c r="AD1" s="1267"/>
      <c r="AE1" s="1268"/>
    </row>
    <row r="2" spans="1:31">
      <c r="A2" s="1255"/>
      <c r="B2" s="1319">
        <v>2019</v>
      </c>
      <c r="C2" s="1320"/>
      <c r="D2" s="1320"/>
      <c r="E2" s="1319">
        <v>2020</v>
      </c>
      <c r="F2" s="1320"/>
      <c r="G2" s="1321"/>
      <c r="H2" s="1322">
        <v>2021</v>
      </c>
      <c r="I2" s="1320"/>
      <c r="J2" s="1321"/>
      <c r="K2" s="1319">
        <v>2022</v>
      </c>
      <c r="L2" s="1272"/>
      <c r="M2" s="1271">
        <v>2019</v>
      </c>
      <c r="N2" s="1292"/>
      <c r="O2" s="1271">
        <v>2020</v>
      </c>
      <c r="P2" s="1293"/>
      <c r="Q2" s="1294">
        <v>2021</v>
      </c>
      <c r="R2" s="1293"/>
      <c r="S2" s="1271">
        <v>2022</v>
      </c>
      <c r="T2" s="1272"/>
      <c r="U2" s="1252">
        <v>2019</v>
      </c>
      <c r="V2" s="1253"/>
      <c r="W2" s="1253"/>
      <c r="X2" s="1252">
        <v>2020</v>
      </c>
      <c r="Y2" s="1253"/>
      <c r="Z2" s="1254"/>
      <c r="AA2" s="1252">
        <v>2021</v>
      </c>
      <c r="AB2" s="1253"/>
      <c r="AC2" s="1254"/>
      <c r="AD2" s="1269">
        <v>2022</v>
      </c>
      <c r="AE2" s="1272"/>
    </row>
    <row r="3" spans="1:31" ht="30">
      <c r="A3" s="1255"/>
      <c r="B3" s="1" t="s">
        <v>1</v>
      </c>
      <c r="C3" s="2" t="s">
        <v>2</v>
      </c>
      <c r="D3" s="2" t="s">
        <v>3</v>
      </c>
      <c r="E3" s="1" t="s">
        <v>1</v>
      </c>
      <c r="F3" s="2" t="s">
        <v>2</v>
      </c>
      <c r="G3" s="3" t="s">
        <v>3</v>
      </c>
      <c r="H3" s="2" t="s">
        <v>1</v>
      </c>
      <c r="I3" s="2" t="s">
        <v>2</v>
      </c>
      <c r="J3" s="3" t="s">
        <v>3</v>
      </c>
      <c r="K3" s="2" t="s">
        <v>1</v>
      </c>
      <c r="L3" s="2" t="s">
        <v>3</v>
      </c>
      <c r="M3" s="1" t="s">
        <v>2</v>
      </c>
      <c r="N3" s="2" t="s">
        <v>3</v>
      </c>
      <c r="O3" s="1" t="s">
        <v>2</v>
      </c>
      <c r="P3" s="3" t="s">
        <v>3</v>
      </c>
      <c r="Q3" s="2" t="s">
        <v>2</v>
      </c>
      <c r="R3" s="3" t="s">
        <v>3</v>
      </c>
      <c r="S3" s="2" t="s">
        <v>1</v>
      </c>
      <c r="T3" s="2" t="s">
        <v>3</v>
      </c>
      <c r="U3" s="7" t="s">
        <v>6</v>
      </c>
      <c r="V3" s="8" t="s">
        <v>7</v>
      </c>
      <c r="W3" s="8" t="s">
        <v>3</v>
      </c>
      <c r="X3" s="7" t="s">
        <v>6</v>
      </c>
      <c r="Y3" s="8" t="s">
        <v>7</v>
      </c>
      <c r="Z3" s="9" t="s">
        <v>3</v>
      </c>
      <c r="AA3" s="7" t="s">
        <v>6</v>
      </c>
      <c r="AB3" s="8" t="s">
        <v>7</v>
      </c>
      <c r="AC3" s="9" t="s">
        <v>3</v>
      </c>
      <c r="AD3" s="367" t="s">
        <v>1</v>
      </c>
      <c r="AE3" s="368" t="s">
        <v>3</v>
      </c>
    </row>
    <row r="4" spans="1:31">
      <c r="A4" s="14" t="s">
        <v>35</v>
      </c>
      <c r="B4" s="34">
        <v>3865</v>
      </c>
      <c r="C4" s="34">
        <v>3716</v>
      </c>
      <c r="D4" s="34">
        <v>15236</v>
      </c>
      <c r="E4" s="35">
        <v>3891</v>
      </c>
      <c r="F4" s="404">
        <f>1024+2706</f>
        <v>3730</v>
      </c>
      <c r="G4" s="405">
        <v>15303</v>
      </c>
      <c r="H4" s="34">
        <v>9924</v>
      </c>
      <c r="I4" s="551">
        <f>6566+3231</f>
        <v>9797</v>
      </c>
      <c r="J4" s="408">
        <v>41914</v>
      </c>
      <c r="K4" s="551">
        <f>3767+1619</f>
        <v>5386</v>
      </c>
      <c r="L4" s="396">
        <v>24501</v>
      </c>
      <c r="M4" s="1419">
        <v>476111</v>
      </c>
      <c r="N4" s="1460">
        <v>1085635</v>
      </c>
      <c r="O4" s="1419">
        <v>480556</v>
      </c>
      <c r="P4" s="1460">
        <v>1039903</v>
      </c>
      <c r="Q4" s="1419">
        <v>493333</v>
      </c>
      <c r="R4" s="1460">
        <v>1049893</v>
      </c>
      <c r="S4" s="1288">
        <v>407731</v>
      </c>
      <c r="T4" s="1286">
        <v>1464776</v>
      </c>
      <c r="U4" s="42">
        <v>48</v>
      </c>
      <c r="V4" s="1391">
        <v>714</v>
      </c>
      <c r="W4" s="1392">
        <v>87592</v>
      </c>
      <c r="X4" s="42">
        <v>47</v>
      </c>
      <c r="Y4" s="1391">
        <f>177+32</f>
        <v>209</v>
      </c>
      <c r="Z4" s="1392">
        <f>34973+4416.896</f>
        <v>39389.896000000001</v>
      </c>
      <c r="AA4" s="42">
        <v>9.3000000000000007</v>
      </c>
      <c r="AB4" s="1467">
        <v>419</v>
      </c>
      <c r="AC4" s="1468">
        <v>61139.75</v>
      </c>
      <c r="AD4" s="1386">
        <v>404</v>
      </c>
      <c r="AE4" s="1387">
        <v>64732</v>
      </c>
    </row>
    <row r="5" spans="1:31">
      <c r="A5" s="15" t="s">
        <v>36</v>
      </c>
      <c r="B5" s="33">
        <v>3799</v>
      </c>
      <c r="C5" s="33">
        <v>3889</v>
      </c>
      <c r="D5" s="33">
        <v>15810</v>
      </c>
      <c r="E5" s="37">
        <v>3435</v>
      </c>
      <c r="F5" s="33">
        <f>2684+933</f>
        <v>3617</v>
      </c>
      <c r="G5" s="38">
        <v>15034</v>
      </c>
      <c r="H5" s="33">
        <v>9256</v>
      </c>
      <c r="I5" s="552">
        <f>6675+3397</f>
        <v>10072</v>
      </c>
      <c r="J5" s="407">
        <v>40988</v>
      </c>
      <c r="K5" s="552">
        <f>3362+1514</f>
        <v>4876</v>
      </c>
      <c r="L5" s="393">
        <v>22313</v>
      </c>
      <c r="M5" s="1420"/>
      <c r="N5" s="1461"/>
      <c r="O5" s="1420"/>
      <c r="P5" s="1461"/>
      <c r="Q5" s="1420"/>
      <c r="R5" s="1461"/>
      <c r="S5" s="1465"/>
      <c r="T5" s="1389"/>
      <c r="U5" s="43">
        <v>40</v>
      </c>
      <c r="V5" s="1426"/>
      <c r="W5" s="1408"/>
      <c r="X5" s="43">
        <v>44</v>
      </c>
      <c r="Y5" s="1426"/>
      <c r="Z5" s="1408"/>
      <c r="AA5" s="43">
        <v>9.3000000000000007</v>
      </c>
      <c r="AB5" s="1364"/>
      <c r="AC5" s="1317"/>
      <c r="AD5" s="1289"/>
      <c r="AE5" s="1389"/>
    </row>
    <row r="6" spans="1:31">
      <c r="A6" s="15" t="s">
        <v>37</v>
      </c>
      <c r="B6" s="33">
        <v>4569</v>
      </c>
      <c r="C6" s="33">
        <v>4352</v>
      </c>
      <c r="D6" s="51">
        <v>17402</v>
      </c>
      <c r="E6" s="37">
        <v>2653</v>
      </c>
      <c r="F6" s="33">
        <f>1746+654</f>
        <v>2400</v>
      </c>
      <c r="G6" s="38">
        <v>10634</v>
      </c>
      <c r="H6" s="33">
        <v>8359</v>
      </c>
      <c r="I6" s="552">
        <f>5517+2947</f>
        <v>8464</v>
      </c>
      <c r="J6" s="407">
        <v>35230</v>
      </c>
      <c r="K6" s="552">
        <f>4217+1793</f>
        <v>6010</v>
      </c>
      <c r="L6" s="393">
        <v>27080.68</v>
      </c>
      <c r="M6" s="1420"/>
      <c r="N6" s="1461"/>
      <c r="O6" s="1420"/>
      <c r="P6" s="1461"/>
      <c r="Q6" s="1420"/>
      <c r="R6" s="1461"/>
      <c r="S6" s="1465"/>
      <c r="T6" s="1389"/>
      <c r="U6" s="43">
        <v>60</v>
      </c>
      <c r="V6" s="1426"/>
      <c r="W6" s="1408"/>
      <c r="X6" s="43">
        <v>25</v>
      </c>
      <c r="Y6" s="1426"/>
      <c r="Z6" s="1408"/>
      <c r="AA6" s="43">
        <v>18</v>
      </c>
      <c r="AB6" s="1364"/>
      <c r="AC6" s="1317"/>
      <c r="AD6" s="1289"/>
      <c r="AE6" s="1389"/>
    </row>
    <row r="7" spans="1:31">
      <c r="A7" s="15" t="s">
        <v>38</v>
      </c>
      <c r="B7" s="33">
        <v>3591</v>
      </c>
      <c r="C7" s="33">
        <v>3740</v>
      </c>
      <c r="D7" s="33">
        <v>15097</v>
      </c>
      <c r="E7" s="37">
        <v>1709</v>
      </c>
      <c r="F7" s="33">
        <f>1106+424</f>
        <v>1530</v>
      </c>
      <c r="G7" s="38">
        <v>7554</v>
      </c>
      <c r="H7" s="33">
        <v>6758</v>
      </c>
      <c r="I7" s="552">
        <f>4452+2434</f>
        <v>6886</v>
      </c>
      <c r="J7" s="407">
        <v>29100</v>
      </c>
      <c r="K7" s="552">
        <f>3394+1576</f>
        <v>4970</v>
      </c>
      <c r="L7" s="393">
        <v>22624.47</v>
      </c>
      <c r="M7" s="1420"/>
      <c r="N7" s="1461"/>
      <c r="O7" s="1420"/>
      <c r="P7" s="1461"/>
      <c r="Q7" s="1420"/>
      <c r="R7" s="1461"/>
      <c r="S7" s="1465"/>
      <c r="T7" s="1389"/>
      <c r="U7" s="43">
        <v>51</v>
      </c>
      <c r="V7" s="1426"/>
      <c r="W7" s="1408"/>
      <c r="X7" s="43">
        <v>13</v>
      </c>
      <c r="Y7" s="1426"/>
      <c r="Z7" s="1408"/>
      <c r="AA7" s="43">
        <v>20</v>
      </c>
      <c r="AB7" s="1364"/>
      <c r="AC7" s="1317"/>
      <c r="AD7" s="1289"/>
      <c r="AE7" s="1389"/>
    </row>
    <row r="8" spans="1:31">
      <c r="A8" s="15" t="s">
        <v>39</v>
      </c>
      <c r="B8" s="33">
        <v>4431</v>
      </c>
      <c r="C8" s="33">
        <v>4603</v>
      </c>
      <c r="D8" s="33">
        <v>18702</v>
      </c>
      <c r="E8" s="37">
        <v>1708</v>
      </c>
      <c r="F8" s="33">
        <f>1292+475</f>
        <v>1767</v>
      </c>
      <c r="G8" s="38">
        <v>8418</v>
      </c>
      <c r="H8" s="33">
        <v>6128</v>
      </c>
      <c r="I8" s="552">
        <f>3082+1827</f>
        <v>4909</v>
      </c>
      <c r="J8" s="407">
        <v>21169</v>
      </c>
      <c r="K8" s="552">
        <f>5951+2825</f>
        <v>8776</v>
      </c>
      <c r="L8" s="393">
        <v>37947.550000000003</v>
      </c>
      <c r="M8" s="1420"/>
      <c r="N8" s="1461"/>
      <c r="O8" s="1420"/>
      <c r="P8" s="1461"/>
      <c r="Q8" s="1420"/>
      <c r="R8" s="1461"/>
      <c r="S8" s="1465"/>
      <c r="T8" s="1389"/>
      <c r="U8" s="43">
        <v>74</v>
      </c>
      <c r="V8" s="1426"/>
      <c r="W8" s="1408"/>
      <c r="X8" s="43">
        <v>15</v>
      </c>
      <c r="Y8" s="1426"/>
      <c r="Z8" s="1408"/>
      <c r="AA8" s="43">
        <v>58</v>
      </c>
      <c r="AB8" s="1364"/>
      <c r="AC8" s="1317"/>
      <c r="AD8" s="1289"/>
      <c r="AE8" s="1389"/>
    </row>
    <row r="9" spans="1:31">
      <c r="A9" s="15" t="s">
        <v>40</v>
      </c>
      <c r="B9" s="33">
        <v>1748</v>
      </c>
      <c r="C9" s="33">
        <v>1598</v>
      </c>
      <c r="D9" s="33">
        <v>7885</v>
      </c>
      <c r="E9" s="37">
        <v>1709</v>
      </c>
      <c r="F9" s="33">
        <f>1436+358</f>
        <v>1794</v>
      </c>
      <c r="G9" s="38">
        <v>8778</v>
      </c>
      <c r="H9" s="33">
        <v>6204</v>
      </c>
      <c r="I9" s="552">
        <f>4545+2190</f>
        <v>6735</v>
      </c>
      <c r="J9" s="407">
        <v>28923</v>
      </c>
      <c r="K9" s="552">
        <f>4716+2133</f>
        <v>6849</v>
      </c>
      <c r="L9" s="393">
        <v>30320.22</v>
      </c>
      <c r="M9" s="1420"/>
      <c r="N9" s="1461"/>
      <c r="O9" s="1420"/>
      <c r="P9" s="1461"/>
      <c r="Q9" s="1420"/>
      <c r="R9" s="1461"/>
      <c r="S9" s="1465"/>
      <c r="T9" s="1389"/>
      <c r="U9" s="43">
        <v>146</v>
      </c>
      <c r="V9" s="1426"/>
      <c r="W9" s="1408"/>
      <c r="X9" s="43">
        <v>17</v>
      </c>
      <c r="Y9" s="1426"/>
      <c r="Z9" s="1408"/>
      <c r="AA9" s="43">
        <v>60</v>
      </c>
      <c r="AB9" s="1364"/>
      <c r="AC9" s="1317"/>
      <c r="AD9" s="1289"/>
      <c r="AE9" s="1389"/>
    </row>
    <row r="10" spans="1:31">
      <c r="A10" s="15" t="s">
        <v>41</v>
      </c>
      <c r="B10" s="33">
        <v>1699</v>
      </c>
      <c r="C10" s="33">
        <v>1523</v>
      </c>
      <c r="D10" s="33">
        <v>7663</v>
      </c>
      <c r="E10" s="37">
        <v>1729</v>
      </c>
      <c r="F10" s="33">
        <f>1174+396</f>
        <v>1570</v>
      </c>
      <c r="G10" s="38">
        <v>7778</v>
      </c>
      <c r="H10" s="33">
        <v>7468</v>
      </c>
      <c r="I10" s="552">
        <f>5106+2549</f>
        <v>7655</v>
      </c>
      <c r="J10" s="407">
        <f>32448</f>
        <v>32448</v>
      </c>
      <c r="K10" s="552">
        <f>4327+2185</f>
        <v>6512</v>
      </c>
      <c r="L10" s="393">
        <v>28612.639999999999</v>
      </c>
      <c r="M10" s="1420"/>
      <c r="N10" s="1461"/>
      <c r="O10" s="1420"/>
      <c r="P10" s="1461"/>
      <c r="Q10" s="1420"/>
      <c r="R10" s="1461"/>
      <c r="S10" s="1465"/>
      <c r="T10" s="1389"/>
      <c r="U10" s="43">
        <v>57</v>
      </c>
      <c r="V10" s="1426"/>
      <c r="W10" s="1408"/>
      <c r="X10" s="43">
        <v>18</v>
      </c>
      <c r="Y10" s="1426"/>
      <c r="Z10" s="1408"/>
      <c r="AA10" s="43">
        <v>16</v>
      </c>
      <c r="AB10" s="1364"/>
      <c r="AC10" s="1317"/>
      <c r="AD10" s="1289"/>
      <c r="AE10" s="1389"/>
    </row>
    <row r="11" spans="1:31">
      <c r="A11" s="15" t="s">
        <v>42</v>
      </c>
      <c r="B11" s="33">
        <v>1566</v>
      </c>
      <c r="C11" s="33">
        <v>1564</v>
      </c>
      <c r="D11" s="33">
        <v>7830</v>
      </c>
      <c r="E11" s="37">
        <v>2211</v>
      </c>
      <c r="F11" s="33">
        <f>1628+430</f>
        <v>2058</v>
      </c>
      <c r="G11" s="38">
        <v>9708</v>
      </c>
      <c r="H11" s="33">
        <v>8188</v>
      </c>
      <c r="I11" s="552">
        <f>5339+2826</f>
        <v>8165</v>
      </c>
      <c r="J11" s="407">
        <v>34233</v>
      </c>
      <c r="K11" s="552">
        <f>1170+511</f>
        <v>1681</v>
      </c>
      <c r="L11" s="393">
        <v>14326.93</v>
      </c>
      <c r="M11" s="1420"/>
      <c r="N11" s="1461"/>
      <c r="O11" s="1420"/>
      <c r="P11" s="1461"/>
      <c r="Q11" s="1420"/>
      <c r="R11" s="1461"/>
      <c r="S11" s="1465"/>
      <c r="T11" s="1389"/>
      <c r="U11" s="43">
        <v>30</v>
      </c>
      <c r="V11" s="1426"/>
      <c r="W11" s="1408"/>
      <c r="X11" s="43">
        <v>22</v>
      </c>
      <c r="Y11" s="1426"/>
      <c r="Z11" s="1408"/>
      <c r="AA11" s="43">
        <v>5</v>
      </c>
      <c r="AB11" s="1364"/>
      <c r="AC11" s="1317"/>
      <c r="AD11" s="1289"/>
      <c r="AE11" s="1389"/>
    </row>
    <row r="12" spans="1:31">
      <c r="A12" s="15" t="s">
        <v>43</v>
      </c>
      <c r="B12" s="33">
        <v>2733</v>
      </c>
      <c r="C12" s="33">
        <v>2808</v>
      </c>
      <c r="D12" s="33">
        <v>12359</v>
      </c>
      <c r="E12" s="37">
        <v>4349</v>
      </c>
      <c r="F12" s="33">
        <f>3066+747</f>
        <v>3813</v>
      </c>
      <c r="G12" s="38">
        <v>16236</v>
      </c>
      <c r="H12" s="33">
        <v>8816</v>
      </c>
      <c r="I12" s="552">
        <f>5578+3025</f>
        <v>8603</v>
      </c>
      <c r="J12" s="407">
        <v>35850</v>
      </c>
      <c r="K12" s="552">
        <f>2379+938</f>
        <v>3317</v>
      </c>
      <c r="L12" s="393">
        <v>16173</v>
      </c>
      <c r="M12" s="1420"/>
      <c r="N12" s="1461"/>
      <c r="O12" s="1420"/>
      <c r="P12" s="1461"/>
      <c r="Q12" s="1420"/>
      <c r="R12" s="1461"/>
      <c r="S12" s="1465"/>
      <c r="T12" s="1389"/>
      <c r="U12" s="43">
        <v>40</v>
      </c>
      <c r="V12" s="1426"/>
      <c r="W12" s="1408"/>
      <c r="X12" s="43">
        <v>35</v>
      </c>
      <c r="Y12" s="1426"/>
      <c r="Z12" s="1408"/>
      <c r="AA12" s="43">
        <v>4.3</v>
      </c>
      <c r="AB12" s="1364"/>
      <c r="AC12" s="1317"/>
      <c r="AD12" s="1289"/>
      <c r="AE12" s="1389"/>
    </row>
    <row r="13" spans="1:31">
      <c r="A13" s="15" t="s">
        <v>44</v>
      </c>
      <c r="B13" s="33">
        <v>3809</v>
      </c>
      <c r="C13" s="33">
        <v>3677</v>
      </c>
      <c r="D13" s="33">
        <v>15105</v>
      </c>
      <c r="E13" s="37">
        <v>6074</v>
      </c>
      <c r="F13" s="33">
        <f>4956+2181</f>
        <v>7137</v>
      </c>
      <c r="G13" s="38">
        <v>26820</v>
      </c>
      <c r="H13" s="33">
        <v>8776</v>
      </c>
      <c r="I13" s="552">
        <f>6006+3005</f>
        <v>9011</v>
      </c>
      <c r="J13" s="407">
        <v>37801</v>
      </c>
      <c r="K13" s="552">
        <f>3968+1643</f>
        <v>5611</v>
      </c>
      <c r="L13" s="393">
        <v>22154</v>
      </c>
      <c r="M13" s="1420"/>
      <c r="N13" s="1461"/>
      <c r="O13" s="1420"/>
      <c r="P13" s="1461"/>
      <c r="Q13" s="1420"/>
      <c r="R13" s="1461"/>
      <c r="S13" s="1465"/>
      <c r="T13" s="1389"/>
      <c r="U13" s="43">
        <v>52</v>
      </c>
      <c r="V13" s="1426"/>
      <c r="W13" s="1408"/>
      <c r="X13" s="43">
        <v>33</v>
      </c>
      <c r="Y13" s="1426"/>
      <c r="Z13" s="1408"/>
      <c r="AA13" s="43">
        <v>25</v>
      </c>
      <c r="AB13" s="1364"/>
      <c r="AC13" s="1317"/>
      <c r="AD13" s="1289"/>
      <c r="AE13" s="1389"/>
    </row>
    <row r="14" spans="1:31">
      <c r="A14" s="15" t="s">
        <v>45</v>
      </c>
      <c r="B14" s="33">
        <v>4082</v>
      </c>
      <c r="C14" s="33">
        <v>4035</v>
      </c>
      <c r="D14" s="33">
        <v>16390</v>
      </c>
      <c r="E14" s="37">
        <v>7576</v>
      </c>
      <c r="F14" s="33">
        <f>5450+2629</f>
        <v>8079</v>
      </c>
      <c r="G14" s="38">
        <v>29731</v>
      </c>
      <c r="H14" s="33">
        <v>8834</v>
      </c>
      <c r="I14" s="552">
        <f>5842+2612</f>
        <v>8454</v>
      </c>
      <c r="J14" s="407">
        <v>36048</v>
      </c>
      <c r="K14" s="552">
        <f>2583+1110</f>
        <v>3693</v>
      </c>
      <c r="L14" s="393">
        <v>15370</v>
      </c>
      <c r="M14" s="1420"/>
      <c r="N14" s="1461"/>
      <c r="O14" s="1420"/>
      <c r="P14" s="1461"/>
      <c r="Q14" s="1420"/>
      <c r="R14" s="1461"/>
      <c r="S14" s="1465"/>
      <c r="T14" s="1389"/>
      <c r="U14" s="43">
        <v>56</v>
      </c>
      <c r="V14" s="1426"/>
      <c r="W14" s="1408"/>
      <c r="X14" s="43">
        <v>17</v>
      </c>
      <c r="Y14" s="1426"/>
      <c r="Z14" s="1408"/>
      <c r="AA14" s="43">
        <v>38</v>
      </c>
      <c r="AB14" s="1364"/>
      <c r="AC14" s="1317"/>
      <c r="AD14" s="1289"/>
      <c r="AE14" s="1389"/>
    </row>
    <row r="15" spans="1:31">
      <c r="A15" s="16" t="s">
        <v>46</v>
      </c>
      <c r="B15" s="33">
        <v>3769</v>
      </c>
      <c r="C15" s="33">
        <v>4239</v>
      </c>
      <c r="D15" s="33">
        <v>16886</v>
      </c>
      <c r="E15" s="37">
        <v>9552</v>
      </c>
      <c r="F15" s="33">
        <f>5764+2696</f>
        <v>8460</v>
      </c>
      <c r="G15" s="38">
        <v>31152</v>
      </c>
      <c r="H15" s="33">
        <v>7642</v>
      </c>
      <c r="I15" s="552">
        <f>5911+2513</f>
        <v>8424</v>
      </c>
      <c r="J15" s="407">
        <v>36123</v>
      </c>
      <c r="K15" s="552">
        <f>2872+975</f>
        <v>3847</v>
      </c>
      <c r="L15" s="393">
        <v>16298</v>
      </c>
      <c r="M15" s="1421"/>
      <c r="N15" s="1462"/>
      <c r="O15" s="1421"/>
      <c r="P15" s="1462"/>
      <c r="Q15" s="1421"/>
      <c r="R15" s="1462"/>
      <c r="S15" s="1466"/>
      <c r="T15" s="1390"/>
      <c r="U15" s="43">
        <v>47</v>
      </c>
      <c r="V15" s="1440"/>
      <c r="W15" s="1446"/>
      <c r="X15" s="43">
        <v>12</v>
      </c>
      <c r="Y15" s="1440"/>
      <c r="Z15" s="1446"/>
      <c r="AA15" s="43">
        <v>31</v>
      </c>
      <c r="AB15" s="1366"/>
      <c r="AC15" s="1318"/>
      <c r="AD15" s="1289"/>
      <c r="AE15" s="1390"/>
    </row>
    <row r="16" spans="1:31">
      <c r="A16" s="13" t="s">
        <v>4</v>
      </c>
      <c r="B16" s="39">
        <f>SUM(B4:B15)</f>
        <v>39661</v>
      </c>
      <c r="C16" s="40">
        <f>SUM(C4:C15)</f>
        <v>39744</v>
      </c>
      <c r="D16" s="40">
        <f>SUM(D4:D15)</f>
        <v>166365</v>
      </c>
      <c r="E16" s="39">
        <f>SUM(E4:E15)</f>
        <v>46596</v>
      </c>
      <c r="F16" s="40">
        <f>SUM(F4:F15)</f>
        <v>45955</v>
      </c>
      <c r="G16" s="41">
        <f>SUM(G5:G15)</f>
        <v>171843</v>
      </c>
      <c r="H16" s="40">
        <f>SUM(H4:H15)</f>
        <v>96353</v>
      </c>
      <c r="I16" s="554">
        <f t="shared" ref="I16:J16" si="0">SUM(I4:I15)</f>
        <v>97175</v>
      </c>
      <c r="J16" s="65">
        <f t="shared" si="0"/>
        <v>409827</v>
      </c>
      <c r="K16" s="553">
        <f>SUM(K4:K15)</f>
        <v>61528</v>
      </c>
      <c r="L16" s="543">
        <f>SUM(L4:L15)</f>
        <v>277721.49</v>
      </c>
      <c r="M16" s="53">
        <v>476111</v>
      </c>
      <c r="N16" s="54">
        <v>1085635</v>
      </c>
      <c r="O16" s="53">
        <v>480556</v>
      </c>
      <c r="P16" s="55">
        <v>1039903</v>
      </c>
      <c r="Q16" s="54">
        <v>493333</v>
      </c>
      <c r="R16" s="55">
        <v>1049893</v>
      </c>
      <c r="S16" s="128">
        <f>SUM(S4)</f>
        <v>407731</v>
      </c>
      <c r="T16" s="128">
        <f>SUM(T4)</f>
        <v>1464776</v>
      </c>
      <c r="U16" s="44">
        <v>700</v>
      </c>
      <c r="V16" s="45">
        <v>714</v>
      </c>
      <c r="W16" s="45">
        <v>87592</v>
      </c>
      <c r="X16" s="44">
        <v>298</v>
      </c>
      <c r="Y16" s="45">
        <v>177</v>
      </c>
      <c r="Z16" s="46">
        <v>34973</v>
      </c>
      <c r="AA16" s="44">
        <v>294</v>
      </c>
      <c r="AB16" s="409">
        <f>SUM(AB4)</f>
        <v>419</v>
      </c>
      <c r="AC16" s="409">
        <f>SUM(AC4)</f>
        <v>61139.75</v>
      </c>
      <c r="AD16" s="525">
        <f>SUM(AD4)</f>
        <v>404</v>
      </c>
      <c r="AE16" s="526">
        <f>SUM(AE4)</f>
        <v>64732</v>
      </c>
    </row>
  </sheetData>
  <mergeCells count="32">
    <mergeCell ref="AB4:AB15"/>
    <mergeCell ref="AC4:AC15"/>
    <mergeCell ref="AD2:AE2"/>
    <mergeCell ref="U1:AE1"/>
    <mergeCell ref="S2:T2"/>
    <mergeCell ref="M1:T1"/>
    <mergeCell ref="M4:M15"/>
    <mergeCell ref="N4:N15"/>
    <mergeCell ref="O4:O15"/>
    <mergeCell ref="P4:P15"/>
    <mergeCell ref="Q4:Q15"/>
    <mergeCell ref="R4:R15"/>
    <mergeCell ref="V4:V15"/>
    <mergeCell ref="W4:W15"/>
    <mergeCell ref="Y4:Y15"/>
    <mergeCell ref="Z4:Z15"/>
    <mergeCell ref="AD4:AD15"/>
    <mergeCell ref="AE4:AE15"/>
    <mergeCell ref="S4:S15"/>
    <mergeCell ref="T4:T15"/>
    <mergeCell ref="A1:A3"/>
    <mergeCell ref="B2:D2"/>
    <mergeCell ref="E2:G2"/>
    <mergeCell ref="H2:J2"/>
    <mergeCell ref="M2:N2"/>
    <mergeCell ref="K2:L2"/>
    <mergeCell ref="B1:L1"/>
    <mergeCell ref="AA2:AC2"/>
    <mergeCell ref="Q2:R2"/>
    <mergeCell ref="U2:W2"/>
    <mergeCell ref="X2:Z2"/>
    <mergeCell ref="O2:P2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29"/>
  <sheetViews>
    <sheetView zoomScale="66" workbookViewId="0">
      <pane xSplit="1" topLeftCell="B1" activePane="topRight" state="frozen"/>
      <selection pane="topRight" activeCell="CI23" sqref="CI23"/>
    </sheetView>
  </sheetViews>
  <sheetFormatPr defaultColWidth="8.85546875" defaultRowHeight="15"/>
  <cols>
    <col min="3" max="4" width="9.7109375" bestFit="1" customWidth="1"/>
    <col min="6" max="6" width="19.42578125" customWidth="1"/>
    <col min="7" max="7" width="9.7109375" bestFit="1" customWidth="1"/>
    <col min="9" max="9" width="11.85546875" bestFit="1" customWidth="1"/>
    <col min="10" max="10" width="13.28515625" bestFit="1" customWidth="1"/>
    <col min="11" max="14" width="9.28515625" bestFit="1" customWidth="1"/>
    <col min="15" max="15" width="11.140625" bestFit="1" customWidth="1"/>
    <col min="16" max="17" width="9.28515625" bestFit="1" customWidth="1"/>
    <col min="18" max="18" width="10.7109375" bestFit="1" customWidth="1"/>
    <col min="20" max="20" width="9.28515625" bestFit="1" customWidth="1"/>
    <col min="21" max="21" width="11.140625" bestFit="1" customWidth="1"/>
    <col min="22" max="22" width="9.28515625" customWidth="1"/>
    <col min="23" max="23" width="11.140625" bestFit="1" customWidth="1"/>
    <col min="24" max="28" width="9.28515625" bestFit="1" customWidth="1"/>
    <col min="31" max="32" width="9.28515625" bestFit="1" customWidth="1"/>
    <col min="33" max="34" width="9.28515625" customWidth="1"/>
    <col min="35" max="36" width="9.28515625" bestFit="1" customWidth="1"/>
    <col min="37" max="37" width="11.140625" bestFit="1" customWidth="1"/>
    <col min="38" max="39" width="9.28515625" bestFit="1" customWidth="1"/>
    <col min="40" max="40" width="11.140625" bestFit="1" customWidth="1"/>
    <col min="42" max="42" width="9.7109375" bestFit="1" customWidth="1"/>
    <col min="43" max="43" width="10.7109375" bestFit="1" customWidth="1"/>
    <col min="44" max="44" width="9.7109375" bestFit="1" customWidth="1"/>
    <col min="45" max="45" width="10.7109375" bestFit="1" customWidth="1"/>
    <col min="46" max="51" width="9.140625" customWidth="1"/>
    <col min="52" max="52" width="11.140625" bestFit="1" customWidth="1"/>
    <col min="53" max="53" width="12.7109375" bestFit="1" customWidth="1"/>
    <col min="54" max="55" width="9.140625" customWidth="1"/>
    <col min="56" max="56" width="9.7109375" customWidth="1"/>
    <col min="57" max="93" width="9.140625" customWidth="1"/>
    <col min="94" max="95" width="9.28515625" bestFit="1" customWidth="1"/>
    <col min="96" max="96" width="9.42578125" bestFit="1" customWidth="1"/>
    <col min="97" max="102" width="9.28515625" bestFit="1" customWidth="1"/>
  </cols>
  <sheetData>
    <row r="1" spans="1:106">
      <c r="A1" s="1255"/>
      <c r="B1" s="1261" t="s">
        <v>47</v>
      </c>
      <c r="C1" s="1262"/>
      <c r="D1" s="1262"/>
      <c r="E1" s="1262"/>
      <c r="F1" s="1262"/>
      <c r="G1" s="1262"/>
      <c r="H1" s="1262"/>
      <c r="I1" s="1262"/>
      <c r="J1" s="1262"/>
      <c r="K1" s="1263"/>
      <c r="L1" s="1264"/>
      <c r="M1" s="1261" t="s">
        <v>68</v>
      </c>
      <c r="N1" s="1263"/>
      <c r="O1" s="1263"/>
      <c r="P1" s="1263"/>
      <c r="Q1" s="1263"/>
      <c r="R1" s="1263"/>
      <c r="S1" s="1263"/>
      <c r="T1" s="1263"/>
      <c r="U1" s="1264"/>
      <c r="V1" s="369"/>
      <c r="W1" s="369"/>
      <c r="X1" s="1261" t="s">
        <v>70</v>
      </c>
      <c r="Y1" s="1262"/>
      <c r="Z1" s="1262"/>
      <c r="AA1" s="1262"/>
      <c r="AB1" s="1262"/>
      <c r="AC1" s="1262"/>
      <c r="AD1" s="1262"/>
      <c r="AE1" s="1262"/>
      <c r="AF1" s="1262"/>
      <c r="AG1" s="1263"/>
      <c r="AH1" s="1264"/>
      <c r="AI1" s="1261" t="s">
        <v>48</v>
      </c>
      <c r="AJ1" s="1262"/>
      <c r="AK1" s="1262"/>
      <c r="AL1" s="1262"/>
      <c r="AM1" s="1262"/>
      <c r="AN1" s="1262"/>
      <c r="AO1" s="1262"/>
      <c r="AP1" s="1262"/>
      <c r="AQ1" s="1262"/>
      <c r="AR1" s="1263"/>
      <c r="AS1" s="1264"/>
      <c r="AT1" s="1295" t="s">
        <v>58</v>
      </c>
      <c r="AU1" s="1296"/>
      <c r="AV1" s="1296"/>
      <c r="AW1" s="1296"/>
      <c r="AX1" s="1296"/>
      <c r="AY1" s="1296"/>
      <c r="AZ1" s="1297"/>
      <c r="BA1" s="1298"/>
      <c r="BB1" s="1295" t="s">
        <v>69</v>
      </c>
      <c r="BC1" s="1296"/>
      <c r="BD1" s="1296"/>
      <c r="BE1" s="1296"/>
      <c r="BF1" s="1296"/>
      <c r="BG1" s="1296"/>
      <c r="BH1" s="1296"/>
      <c r="BI1" s="1296"/>
      <c r="BJ1" s="1296"/>
      <c r="BK1" s="1297"/>
      <c r="BL1" s="1298"/>
      <c r="BM1" s="1295" t="s">
        <v>66</v>
      </c>
      <c r="BN1" s="1296"/>
      <c r="BO1" s="1296"/>
      <c r="BP1" s="1296"/>
      <c r="BQ1" s="1296"/>
      <c r="BR1" s="1296"/>
      <c r="BS1" s="1296"/>
      <c r="BT1" s="1296"/>
      <c r="BU1" s="1296"/>
      <c r="BV1" s="1297"/>
      <c r="BW1" s="1298"/>
      <c r="BX1" s="1296" t="s">
        <v>71</v>
      </c>
      <c r="BY1" s="1296"/>
      <c r="BZ1" s="1296"/>
      <c r="CA1" s="1296"/>
      <c r="CB1" s="1296"/>
      <c r="CC1" s="1296"/>
      <c r="CD1" s="1296"/>
      <c r="CE1" s="1296"/>
      <c r="CF1" s="1296"/>
      <c r="CG1" s="1297"/>
      <c r="CH1" s="1298"/>
      <c r="CI1" s="1504" t="s">
        <v>72</v>
      </c>
      <c r="CJ1" s="1505"/>
      <c r="CK1" s="1505"/>
      <c r="CL1" s="1505"/>
      <c r="CM1" s="1505"/>
      <c r="CN1" s="1505"/>
      <c r="CO1" s="1505"/>
      <c r="CP1" s="1505"/>
      <c r="CQ1" s="1506"/>
      <c r="CR1" s="1265" t="s">
        <v>93</v>
      </c>
      <c r="CS1" s="1266"/>
      <c r="CT1" s="1266"/>
      <c r="CU1" s="1266"/>
      <c r="CV1" s="1266"/>
      <c r="CW1" s="1266"/>
      <c r="CX1" s="1266"/>
      <c r="CY1" s="1266"/>
      <c r="CZ1" s="1266"/>
      <c r="DA1" s="1267"/>
      <c r="DB1" s="1268"/>
    </row>
    <row r="2" spans="1:106">
      <c r="A2" s="1255"/>
      <c r="B2" s="1319">
        <v>2019</v>
      </c>
      <c r="C2" s="1320"/>
      <c r="D2" s="1320"/>
      <c r="E2" s="1319">
        <v>2020</v>
      </c>
      <c r="F2" s="1320"/>
      <c r="G2" s="1321"/>
      <c r="H2" s="1322">
        <v>2021</v>
      </c>
      <c r="I2" s="1320"/>
      <c r="J2" s="1321"/>
      <c r="K2" s="1319">
        <v>2022</v>
      </c>
      <c r="L2" s="1272"/>
      <c r="M2" s="1319">
        <v>2019</v>
      </c>
      <c r="N2" s="1320"/>
      <c r="O2" s="1320"/>
      <c r="P2" s="1319">
        <v>2020</v>
      </c>
      <c r="Q2" s="1320"/>
      <c r="R2" s="1321"/>
      <c r="S2" s="1322">
        <v>2021</v>
      </c>
      <c r="T2" s="1320"/>
      <c r="U2" s="1320"/>
      <c r="V2" s="1319">
        <v>2022</v>
      </c>
      <c r="W2" s="1272"/>
      <c r="X2" s="1319">
        <v>2019</v>
      </c>
      <c r="Y2" s="1320"/>
      <c r="Z2" s="1320"/>
      <c r="AA2" s="1319">
        <v>2020</v>
      </c>
      <c r="AB2" s="1320"/>
      <c r="AC2" s="1321"/>
      <c r="AD2" s="1322">
        <v>2021</v>
      </c>
      <c r="AE2" s="1320"/>
      <c r="AF2" s="1320"/>
      <c r="AG2" s="1319">
        <v>2022</v>
      </c>
      <c r="AH2" s="1272"/>
      <c r="AI2" s="1319">
        <v>2019</v>
      </c>
      <c r="AJ2" s="1320"/>
      <c r="AK2" s="1321"/>
      <c r="AL2" s="1322">
        <v>2020</v>
      </c>
      <c r="AM2" s="1320"/>
      <c r="AN2" s="1321"/>
      <c r="AO2" s="1322">
        <v>2021</v>
      </c>
      <c r="AP2" s="1320"/>
      <c r="AQ2" s="1320"/>
      <c r="AR2" s="1319">
        <v>2022</v>
      </c>
      <c r="AS2" s="1272"/>
      <c r="AT2" s="1271">
        <v>2019</v>
      </c>
      <c r="AU2" s="1292"/>
      <c r="AV2" s="1271">
        <v>2020</v>
      </c>
      <c r="AW2" s="1293"/>
      <c r="AX2" s="1294">
        <v>2021</v>
      </c>
      <c r="AY2" s="1293"/>
      <c r="AZ2" s="1271">
        <v>2022</v>
      </c>
      <c r="BA2" s="1272"/>
      <c r="BB2" s="1351">
        <v>2019</v>
      </c>
      <c r="BC2" s="1349"/>
      <c r="BD2" s="1349"/>
      <c r="BE2" s="1348">
        <v>2020</v>
      </c>
      <c r="BF2" s="1349"/>
      <c r="BG2" s="1350"/>
      <c r="BH2" s="1351">
        <v>2021</v>
      </c>
      <c r="BI2" s="1351"/>
      <c r="BJ2" s="1351"/>
      <c r="BK2" s="1348">
        <v>2022</v>
      </c>
      <c r="BL2" s="1353"/>
      <c r="BM2" s="1348">
        <v>2019</v>
      </c>
      <c r="BN2" s="1349"/>
      <c r="BO2" s="1349"/>
      <c r="BP2" s="1348">
        <v>2020</v>
      </c>
      <c r="BQ2" s="1349"/>
      <c r="BR2" s="1350"/>
      <c r="BS2" s="1351">
        <v>2021</v>
      </c>
      <c r="BT2" s="1351"/>
      <c r="BU2" s="1351"/>
      <c r="BV2" s="1348">
        <v>2022</v>
      </c>
      <c r="BW2" s="1353"/>
      <c r="BX2" s="1351">
        <v>2019</v>
      </c>
      <c r="BY2" s="1349"/>
      <c r="BZ2" s="1349"/>
      <c r="CA2" s="1348">
        <v>2020</v>
      </c>
      <c r="CB2" s="1349"/>
      <c r="CC2" s="1349"/>
      <c r="CD2" s="1348">
        <v>2021</v>
      </c>
      <c r="CE2" s="1351"/>
      <c r="CF2" s="1352"/>
      <c r="CG2" s="1348">
        <v>2022</v>
      </c>
      <c r="CH2" s="1353"/>
      <c r="CI2" s="1507">
        <v>2019</v>
      </c>
      <c r="CJ2" s="1508"/>
      <c r="CK2" s="1508"/>
      <c r="CL2" s="1509">
        <v>2020</v>
      </c>
      <c r="CM2" s="1508"/>
      <c r="CN2" s="1510"/>
      <c r="CO2" s="1507">
        <v>2021</v>
      </c>
      <c r="CP2" s="1507"/>
      <c r="CQ2" s="1511"/>
      <c r="CR2" s="1252">
        <v>2019</v>
      </c>
      <c r="CS2" s="1253"/>
      <c r="CT2" s="1253"/>
      <c r="CU2" s="1252">
        <v>2020</v>
      </c>
      <c r="CV2" s="1253"/>
      <c r="CW2" s="1254"/>
      <c r="CX2" s="1252">
        <v>2021</v>
      </c>
      <c r="CY2" s="1253"/>
      <c r="CZ2" s="1254"/>
      <c r="DA2" s="1269">
        <v>2022</v>
      </c>
      <c r="DB2" s="1270"/>
    </row>
    <row r="3" spans="1:106" ht="30">
      <c r="A3" s="1255"/>
      <c r="B3" s="1" t="s">
        <v>1</v>
      </c>
      <c r="C3" s="2" t="s">
        <v>2</v>
      </c>
      <c r="D3" s="2" t="s">
        <v>3</v>
      </c>
      <c r="E3" s="1" t="s">
        <v>1</v>
      </c>
      <c r="F3" s="2" t="s">
        <v>2</v>
      </c>
      <c r="G3" s="3" t="s">
        <v>3</v>
      </c>
      <c r="H3" s="2" t="s">
        <v>67</v>
      </c>
      <c r="I3" s="2" t="s">
        <v>2</v>
      </c>
      <c r="J3" s="3" t="s">
        <v>3</v>
      </c>
      <c r="K3" s="60" t="s">
        <v>1</v>
      </c>
      <c r="L3" s="60" t="s">
        <v>3</v>
      </c>
      <c r="M3" s="86" t="s">
        <v>1</v>
      </c>
      <c r="N3" s="60" t="s">
        <v>2</v>
      </c>
      <c r="O3" s="60" t="s">
        <v>3</v>
      </c>
      <c r="P3" s="86" t="s">
        <v>1</v>
      </c>
      <c r="Q3" s="60" t="s">
        <v>2</v>
      </c>
      <c r="R3" s="87" t="s">
        <v>3</v>
      </c>
      <c r="S3" s="2" t="s">
        <v>54</v>
      </c>
      <c r="T3" s="2" t="s">
        <v>2</v>
      </c>
      <c r="U3" s="2" t="s">
        <v>3</v>
      </c>
      <c r="V3" s="1" t="s">
        <v>1</v>
      </c>
      <c r="W3" s="3" t="s">
        <v>3</v>
      </c>
      <c r="X3" s="1" t="s">
        <v>1</v>
      </c>
      <c r="Y3" s="2" t="s">
        <v>2</v>
      </c>
      <c r="Z3" s="2" t="s">
        <v>3</v>
      </c>
      <c r="AA3" s="1" t="s">
        <v>1</v>
      </c>
      <c r="AB3" s="2" t="s">
        <v>2</v>
      </c>
      <c r="AC3" s="3" t="s">
        <v>3</v>
      </c>
      <c r="AD3" s="2" t="s">
        <v>54</v>
      </c>
      <c r="AE3" s="2" t="s">
        <v>2</v>
      </c>
      <c r="AF3" s="2" t="s">
        <v>3</v>
      </c>
      <c r="AG3" s="1" t="s">
        <v>1</v>
      </c>
      <c r="AH3" s="3" t="s">
        <v>3</v>
      </c>
      <c r="AI3" s="1" t="s">
        <v>1</v>
      </c>
      <c r="AJ3" s="2" t="s">
        <v>2</v>
      </c>
      <c r="AK3" s="3" t="s">
        <v>3</v>
      </c>
      <c r="AL3" s="2" t="s">
        <v>1</v>
      </c>
      <c r="AM3" s="2" t="s">
        <v>2</v>
      </c>
      <c r="AN3" s="3" t="s">
        <v>3</v>
      </c>
      <c r="AO3" s="2" t="s">
        <v>54</v>
      </c>
      <c r="AP3" s="2" t="s">
        <v>2</v>
      </c>
      <c r="AQ3" s="2" t="s">
        <v>3</v>
      </c>
      <c r="AR3" s="86" t="s">
        <v>1</v>
      </c>
      <c r="AS3" s="87" t="s">
        <v>3</v>
      </c>
      <c r="AT3" s="86" t="s">
        <v>2</v>
      </c>
      <c r="AU3" s="60" t="s">
        <v>3</v>
      </c>
      <c r="AV3" s="86" t="s">
        <v>2</v>
      </c>
      <c r="AW3" s="87" t="s">
        <v>3</v>
      </c>
      <c r="AX3" s="2" t="s">
        <v>2</v>
      </c>
      <c r="AY3" s="3" t="s">
        <v>3</v>
      </c>
      <c r="AZ3" s="86" t="s">
        <v>150</v>
      </c>
      <c r="BA3" s="87" t="s">
        <v>3</v>
      </c>
      <c r="BB3" s="57" t="s">
        <v>1</v>
      </c>
      <c r="BC3" s="57" t="s">
        <v>2</v>
      </c>
      <c r="BD3" s="57" t="s">
        <v>3</v>
      </c>
      <c r="BE3" s="56" t="s">
        <v>1</v>
      </c>
      <c r="BF3" s="186" t="s">
        <v>2</v>
      </c>
      <c r="BG3" s="58" t="s">
        <v>3</v>
      </c>
      <c r="BH3" s="57" t="s">
        <v>54</v>
      </c>
      <c r="BI3" s="57" t="s">
        <v>2</v>
      </c>
      <c r="BJ3" s="57" t="s">
        <v>3</v>
      </c>
      <c r="BK3" s="56" t="s">
        <v>1</v>
      </c>
      <c r="BL3" s="58" t="s">
        <v>3</v>
      </c>
      <c r="BM3" s="56" t="s">
        <v>1</v>
      </c>
      <c r="BN3" s="57" t="s">
        <v>2</v>
      </c>
      <c r="BO3" s="57" t="s">
        <v>3</v>
      </c>
      <c r="BP3" s="56" t="s">
        <v>1</v>
      </c>
      <c r="BQ3" s="57" t="s">
        <v>2</v>
      </c>
      <c r="BR3" s="58" t="s">
        <v>3</v>
      </c>
      <c r="BS3" s="57" t="s">
        <v>54</v>
      </c>
      <c r="BT3" s="57" t="s">
        <v>2</v>
      </c>
      <c r="BU3" s="57" t="s">
        <v>3</v>
      </c>
      <c r="BV3" s="56"/>
      <c r="BW3" s="58"/>
      <c r="BX3" s="57" t="s">
        <v>1</v>
      </c>
      <c r="BY3" s="57" t="s">
        <v>2</v>
      </c>
      <c r="BZ3" s="57" t="s">
        <v>3</v>
      </c>
      <c r="CA3" s="56" t="s">
        <v>1</v>
      </c>
      <c r="CB3" s="57" t="s">
        <v>2</v>
      </c>
      <c r="CC3" s="57" t="s">
        <v>3</v>
      </c>
      <c r="CD3" s="56" t="s">
        <v>54</v>
      </c>
      <c r="CE3" s="57" t="s">
        <v>2</v>
      </c>
      <c r="CF3" s="58" t="s">
        <v>3</v>
      </c>
      <c r="CG3" s="56" t="s">
        <v>1</v>
      </c>
      <c r="CH3" s="58" t="s">
        <v>3</v>
      </c>
      <c r="CI3" s="311" t="s">
        <v>1</v>
      </c>
      <c r="CJ3" s="311" t="s">
        <v>2</v>
      </c>
      <c r="CK3" s="311" t="s">
        <v>3</v>
      </c>
      <c r="CL3" s="312" t="s">
        <v>1</v>
      </c>
      <c r="CM3" s="311" t="s">
        <v>2</v>
      </c>
      <c r="CN3" s="313" t="s">
        <v>3</v>
      </c>
      <c r="CO3" s="311" t="s">
        <v>54</v>
      </c>
      <c r="CP3" s="311" t="s">
        <v>2</v>
      </c>
      <c r="CQ3" s="313" t="s">
        <v>3</v>
      </c>
      <c r="CR3" s="7" t="s">
        <v>6</v>
      </c>
      <c r="CS3" s="8" t="s">
        <v>7</v>
      </c>
      <c r="CT3" s="8" t="s">
        <v>3</v>
      </c>
      <c r="CU3" s="7" t="s">
        <v>6</v>
      </c>
      <c r="CV3" s="8" t="s">
        <v>7</v>
      </c>
      <c r="CW3" s="9" t="s">
        <v>3</v>
      </c>
      <c r="CX3" s="7" t="s">
        <v>6</v>
      </c>
      <c r="CY3" s="8" t="s">
        <v>7</v>
      </c>
      <c r="CZ3" s="9" t="s">
        <v>3</v>
      </c>
      <c r="DA3" s="367" t="s">
        <v>6</v>
      </c>
      <c r="DB3" s="368">
        <v>230</v>
      </c>
    </row>
    <row r="4" spans="1:106">
      <c r="A4" s="17" t="s">
        <v>35</v>
      </c>
      <c r="B4" s="61">
        <v>1377</v>
      </c>
      <c r="C4" s="1529">
        <v>11173</v>
      </c>
      <c r="D4" s="1530">
        <v>66032</v>
      </c>
      <c r="E4" s="61">
        <v>950</v>
      </c>
      <c r="F4" s="615">
        <v>711</v>
      </c>
      <c r="G4" s="615">
        <v>4900</v>
      </c>
      <c r="H4" s="62">
        <v>600</v>
      </c>
      <c r="I4" s="1472">
        <v>5621</v>
      </c>
      <c r="J4" s="1493">
        <v>44281.06</v>
      </c>
      <c r="K4" s="1499">
        <v>7743</v>
      </c>
      <c r="L4" s="1501">
        <v>37092.97</v>
      </c>
      <c r="M4" s="47">
        <v>7597</v>
      </c>
      <c r="N4" s="609">
        <v>5695</v>
      </c>
      <c r="O4" s="600">
        <v>26537</v>
      </c>
      <c r="P4" s="48">
        <v>5889</v>
      </c>
      <c r="Q4" s="1491">
        <v>43433</v>
      </c>
      <c r="R4" s="1340">
        <v>206332.79999999999</v>
      </c>
      <c r="S4" s="48">
        <v>4002</v>
      </c>
      <c r="T4" s="1472">
        <v>28719</v>
      </c>
      <c r="U4" s="1284">
        <v>155793.39000000001</v>
      </c>
      <c r="V4" s="1499">
        <v>45560</v>
      </c>
      <c r="W4" s="1340">
        <v>246702.45</v>
      </c>
      <c r="X4" s="617"/>
      <c r="Y4" s="602">
        <v>9.8000000000000007</v>
      </c>
      <c r="Z4" s="600">
        <v>112</v>
      </c>
      <c r="AA4" s="1487"/>
      <c r="AB4" s="1536">
        <v>79.8</v>
      </c>
      <c r="AC4" s="1340">
        <v>943.2192</v>
      </c>
      <c r="AD4" s="595"/>
      <c r="AE4" s="1470">
        <v>89</v>
      </c>
      <c r="AF4" s="1493">
        <v>1114.03</v>
      </c>
      <c r="AG4" s="618">
        <v>14</v>
      </c>
      <c r="AH4" s="611">
        <v>161</v>
      </c>
      <c r="AI4" s="47">
        <v>8370</v>
      </c>
      <c r="AJ4" s="619">
        <v>6349</v>
      </c>
      <c r="AK4" s="620">
        <v>29536</v>
      </c>
      <c r="AL4" s="48">
        <v>7152</v>
      </c>
      <c r="AM4" s="1476">
        <v>45404</v>
      </c>
      <c r="AN4" s="1474">
        <v>215843.59</v>
      </c>
      <c r="AO4" s="48">
        <v>4382</v>
      </c>
      <c r="AP4" s="1472">
        <v>36298</v>
      </c>
      <c r="AQ4" s="1470">
        <v>194920.6</v>
      </c>
      <c r="AR4" s="1517">
        <v>42885</v>
      </c>
      <c r="AS4" s="1474">
        <v>233703.8</v>
      </c>
      <c r="AT4" s="47">
        <v>153738.20000000001</v>
      </c>
      <c r="AU4" s="48">
        <f>AT4*1.4034574</f>
        <v>215765.01445268001</v>
      </c>
      <c r="AV4" s="193">
        <v>139779.00071200001</v>
      </c>
      <c r="AW4" s="49">
        <f>AV4*1.2711567</f>
        <v>177681.01327436356</v>
      </c>
      <c r="AX4">
        <v>139902.056366</v>
      </c>
      <c r="AY4" s="196">
        <f>AX4*1.271162</f>
        <v>177838.17777431727</v>
      </c>
      <c r="AZ4" s="1360">
        <v>719097</v>
      </c>
      <c r="BA4" s="1325">
        <v>2018966</v>
      </c>
      <c r="BB4" s="187">
        <v>0.56000000000000005</v>
      </c>
      <c r="BC4" s="1519">
        <v>0</v>
      </c>
      <c r="BD4" s="200">
        <v>0</v>
      </c>
      <c r="BE4" s="68">
        <v>0.34</v>
      </c>
      <c r="BF4" s="187">
        <v>0</v>
      </c>
      <c r="BG4" s="117">
        <v>0</v>
      </c>
      <c r="BH4" s="84">
        <v>0.12</v>
      </c>
      <c r="BI4" s="1472">
        <v>11</v>
      </c>
      <c r="BJ4" s="1328">
        <v>1304.56</v>
      </c>
      <c r="BK4" s="1557">
        <f>10.75+10.75</f>
        <v>21.5</v>
      </c>
      <c r="BL4" s="1474">
        <v>396.60169999999999</v>
      </c>
      <c r="BM4" s="204">
        <v>989</v>
      </c>
      <c r="BN4" s="200">
        <v>1036</v>
      </c>
      <c r="BO4" s="200">
        <v>1725</v>
      </c>
      <c r="BP4" s="47">
        <v>717</v>
      </c>
      <c r="BQ4" s="538">
        <v>616</v>
      </c>
      <c r="BR4" s="600">
        <v>766</v>
      </c>
      <c r="BS4" s="48">
        <v>669</v>
      </c>
      <c r="BT4" s="559">
        <v>677</v>
      </c>
      <c r="BU4" s="559">
        <v>720</v>
      </c>
      <c r="BV4" s="1499">
        <v>2578</v>
      </c>
      <c r="BW4" s="1340">
        <v>2877</v>
      </c>
      <c r="BX4" s="590"/>
      <c r="BY4" s="1482">
        <v>0</v>
      </c>
      <c r="BZ4" s="1464">
        <v>386.55</v>
      </c>
      <c r="CA4" s="560"/>
      <c r="CB4" s="557"/>
      <c r="CC4" s="574"/>
      <c r="CD4" s="589"/>
      <c r="CE4" s="1482">
        <v>0</v>
      </c>
      <c r="CF4" s="1340">
        <v>351.1</v>
      </c>
      <c r="CG4" s="1499">
        <v>0</v>
      </c>
      <c r="CH4" s="1340">
        <v>981</v>
      </c>
      <c r="CI4" s="314">
        <v>182692</v>
      </c>
      <c r="CJ4" s="315"/>
      <c r="CK4" s="315"/>
      <c r="CL4" s="316">
        <v>142008</v>
      </c>
      <c r="CM4" s="315"/>
      <c r="CN4" s="317"/>
      <c r="CO4" s="314">
        <v>148826</v>
      </c>
      <c r="CP4" s="315"/>
      <c r="CQ4" s="315"/>
      <c r="CR4" s="75">
        <v>322</v>
      </c>
      <c r="CS4" s="76">
        <v>236</v>
      </c>
      <c r="CT4" s="76">
        <v>23468</v>
      </c>
      <c r="CU4" s="75">
        <v>234</v>
      </c>
      <c r="CV4" s="76">
        <v>174</v>
      </c>
      <c r="CW4" s="77">
        <v>17777</v>
      </c>
      <c r="CX4" s="75">
        <v>104</v>
      </c>
      <c r="CY4" s="76">
        <v>89</v>
      </c>
      <c r="CZ4" s="77">
        <v>9229</v>
      </c>
      <c r="DA4" s="193">
        <v>136</v>
      </c>
      <c r="DB4" s="362">
        <v>15239</v>
      </c>
    </row>
    <row r="5" spans="1:106">
      <c r="A5" s="18" t="s">
        <v>36</v>
      </c>
      <c r="B5" s="32">
        <v>884</v>
      </c>
      <c r="C5" s="1364"/>
      <c r="D5" s="1317"/>
      <c r="E5" s="32">
        <v>1070</v>
      </c>
      <c r="F5" s="616">
        <v>711</v>
      </c>
      <c r="G5" s="616">
        <v>4900</v>
      </c>
      <c r="H5" s="31">
        <v>649</v>
      </c>
      <c r="I5" s="1473"/>
      <c r="J5" s="1494"/>
      <c r="K5" s="1500"/>
      <c r="L5" s="1309"/>
      <c r="M5" s="50">
        <v>5944</v>
      </c>
      <c r="N5" s="610">
        <v>5144</v>
      </c>
      <c r="O5" s="601">
        <v>23969</v>
      </c>
      <c r="P5" s="51">
        <v>5923</v>
      </c>
      <c r="Q5" s="1492"/>
      <c r="R5" s="1367"/>
      <c r="S5" s="51">
        <v>3365</v>
      </c>
      <c r="T5" s="1473"/>
      <c r="U5" s="1274"/>
      <c r="V5" s="1304"/>
      <c r="W5" s="1388"/>
      <c r="X5" s="175"/>
      <c r="Y5" s="603">
        <v>8.8000000000000007</v>
      </c>
      <c r="Z5" s="601">
        <v>101</v>
      </c>
      <c r="AA5" s="1488"/>
      <c r="AB5" s="1537"/>
      <c r="AC5" s="1367"/>
      <c r="AD5" s="177"/>
      <c r="AE5" s="1471"/>
      <c r="AF5" s="1494"/>
      <c r="AG5" s="598">
        <v>13</v>
      </c>
      <c r="AH5" s="599">
        <v>145</v>
      </c>
      <c r="AI5" s="50">
        <v>5886</v>
      </c>
      <c r="AJ5" s="606">
        <v>5735</v>
      </c>
      <c r="AK5" s="607">
        <v>26678</v>
      </c>
      <c r="AL5" s="51">
        <v>7003</v>
      </c>
      <c r="AM5" s="1477"/>
      <c r="AN5" s="1475"/>
      <c r="AO5" s="51">
        <v>3892</v>
      </c>
      <c r="AP5" s="1473"/>
      <c r="AQ5" s="1471"/>
      <c r="AR5" s="1518"/>
      <c r="AS5" s="1388"/>
      <c r="AT5" s="50">
        <v>125244.26</v>
      </c>
      <c r="AU5" s="51">
        <f t="shared" ref="AU5:AU15" si="0">AT5*1.4034574</f>
        <v>175774.98350452399</v>
      </c>
      <c r="AV5" s="194">
        <v>107418.697046</v>
      </c>
      <c r="AW5" s="52">
        <f t="shared" ref="AW5:AW15" si="1">AV5*1.2711567</f>
        <v>136545.99645529309</v>
      </c>
      <c r="AX5">
        <v>113488.42412400001</v>
      </c>
      <c r="AY5" s="197">
        <f>AX5*1.271162</f>
        <v>144262.17218631209</v>
      </c>
      <c r="AZ5" s="1465"/>
      <c r="BA5" s="1389"/>
      <c r="BB5" s="188">
        <v>5.3</v>
      </c>
      <c r="BC5" s="1520"/>
      <c r="BD5" s="51">
        <v>0</v>
      </c>
      <c r="BE5" s="71">
        <v>6.2E-2</v>
      </c>
      <c r="BF5" s="188">
        <v>11</v>
      </c>
      <c r="BG5" s="537">
        <v>82</v>
      </c>
      <c r="BH5" s="85">
        <v>6.3E-3</v>
      </c>
      <c r="BI5" s="1473"/>
      <c r="BJ5" s="1329"/>
      <c r="BK5" s="1558"/>
      <c r="BL5" s="1306"/>
      <c r="BM5" s="202">
        <v>645</v>
      </c>
      <c r="BN5" s="201">
        <v>834</v>
      </c>
      <c r="BO5" s="201">
        <v>1476</v>
      </c>
      <c r="BP5" s="50">
        <v>646</v>
      </c>
      <c r="BQ5" s="539">
        <v>577</v>
      </c>
      <c r="BR5" s="601">
        <v>717</v>
      </c>
      <c r="BS5" s="51">
        <v>627</v>
      </c>
      <c r="BT5" s="556">
        <v>612</v>
      </c>
      <c r="BU5" s="556">
        <v>650</v>
      </c>
      <c r="BV5" s="1304"/>
      <c r="BW5" s="1388"/>
      <c r="BX5" s="588"/>
      <c r="BY5" s="1495"/>
      <c r="BZ5" s="1524"/>
      <c r="CA5" s="575"/>
      <c r="CB5" s="558"/>
      <c r="CC5" s="576"/>
      <c r="CD5" s="591"/>
      <c r="CE5" s="1338"/>
      <c r="CF5" s="1388"/>
      <c r="CG5" s="1304"/>
      <c r="CH5" s="1388"/>
      <c r="CI5" s="318">
        <v>133280</v>
      </c>
      <c r="CJ5" s="319"/>
      <c r="CK5" s="319"/>
      <c r="CL5" s="320">
        <v>227904</v>
      </c>
      <c r="CM5" s="319"/>
      <c r="CN5" s="321"/>
      <c r="CO5" s="318">
        <v>140573</v>
      </c>
      <c r="CP5" s="319"/>
      <c r="CQ5" s="319"/>
      <c r="CR5" s="78">
        <v>203</v>
      </c>
      <c r="CS5" s="79">
        <v>207</v>
      </c>
      <c r="CT5" s="79">
        <v>20607</v>
      </c>
      <c r="CU5" s="78">
        <v>218</v>
      </c>
      <c r="CV5" s="79">
        <v>242</v>
      </c>
      <c r="CW5" s="80">
        <v>25018</v>
      </c>
      <c r="CX5" s="78">
        <v>77</v>
      </c>
      <c r="CY5" s="79">
        <v>73</v>
      </c>
      <c r="CZ5" s="80">
        <v>7683</v>
      </c>
      <c r="DA5" s="194">
        <v>230</v>
      </c>
      <c r="DB5" s="355">
        <v>25864</v>
      </c>
    </row>
    <row r="6" spans="1:106">
      <c r="A6" s="18" t="s">
        <v>37</v>
      </c>
      <c r="B6" s="32">
        <v>1281</v>
      </c>
      <c r="C6" s="1364"/>
      <c r="D6" s="1317"/>
      <c r="E6" s="32">
        <v>831</v>
      </c>
      <c r="F6" s="616">
        <v>665</v>
      </c>
      <c r="G6" s="616">
        <v>4584</v>
      </c>
      <c r="H6" s="31">
        <v>456</v>
      </c>
      <c r="I6" s="1473"/>
      <c r="J6" s="1494"/>
      <c r="K6" s="1500"/>
      <c r="L6" s="1309"/>
      <c r="M6" s="50">
        <v>6231</v>
      </c>
      <c r="N6" s="610">
        <v>5695</v>
      </c>
      <c r="O6" s="601">
        <v>26537</v>
      </c>
      <c r="P6" s="51">
        <v>6092</v>
      </c>
      <c r="Q6" s="1492"/>
      <c r="R6" s="1367"/>
      <c r="S6" s="51">
        <v>3379</v>
      </c>
      <c r="T6" s="1473"/>
      <c r="U6" s="1274"/>
      <c r="V6" s="1304"/>
      <c r="W6" s="1388"/>
      <c r="X6" s="175"/>
      <c r="Y6" s="603">
        <v>9.8000000000000007</v>
      </c>
      <c r="Z6" s="601">
        <v>112</v>
      </c>
      <c r="AA6" s="1488"/>
      <c r="AB6" s="1537"/>
      <c r="AC6" s="1367"/>
      <c r="AD6" s="177"/>
      <c r="AE6" s="1471"/>
      <c r="AF6" s="1494"/>
      <c r="AG6" s="598">
        <v>14</v>
      </c>
      <c r="AH6" s="599">
        <v>161</v>
      </c>
      <c r="AI6" s="50">
        <v>7411</v>
      </c>
      <c r="AJ6" s="606">
        <v>6349</v>
      </c>
      <c r="AK6" s="607">
        <v>29536</v>
      </c>
      <c r="AL6" s="51">
        <v>5066</v>
      </c>
      <c r="AM6" s="1477"/>
      <c r="AN6" s="1475"/>
      <c r="AO6" s="51">
        <v>3199</v>
      </c>
      <c r="AP6" s="1473"/>
      <c r="AQ6" s="1471"/>
      <c r="AR6" s="1518"/>
      <c r="AS6" s="1388"/>
      <c r="AT6" s="50">
        <v>108357.86</v>
      </c>
      <c r="AU6" s="51">
        <f t="shared" si="0"/>
        <v>152075.640465164</v>
      </c>
      <c r="AV6" s="194">
        <v>103577.86064</v>
      </c>
      <c r="AW6" s="52">
        <f t="shared" si="1"/>
        <v>131663.69152420227</v>
      </c>
      <c r="AX6">
        <v>104514.25027800001</v>
      </c>
      <c r="AY6" s="197">
        <f t="shared" ref="AY6:AY15" si="2">AX6*1.271162</f>
        <v>132854.54341188303</v>
      </c>
      <c r="AZ6" s="1465"/>
      <c r="BA6" s="1389"/>
      <c r="BB6" s="188">
        <v>0.72</v>
      </c>
      <c r="BC6" s="1520"/>
      <c r="BD6" s="51">
        <v>0</v>
      </c>
      <c r="BE6" s="71">
        <v>4.3999999999999997E-2</v>
      </c>
      <c r="BF6" s="188">
        <v>11</v>
      </c>
      <c r="BG6" s="537">
        <v>82</v>
      </c>
      <c r="BH6" s="569"/>
      <c r="BI6" s="1473"/>
      <c r="BJ6" s="1329"/>
      <c r="BK6" s="1558"/>
      <c r="BL6" s="1306"/>
      <c r="BM6" s="202">
        <v>763</v>
      </c>
      <c r="BN6" s="201">
        <v>684</v>
      </c>
      <c r="BO6" s="201">
        <v>1224</v>
      </c>
      <c r="BP6" s="50">
        <v>264</v>
      </c>
      <c r="BQ6" s="539">
        <v>616</v>
      </c>
      <c r="BR6" s="601">
        <v>766</v>
      </c>
      <c r="BS6" s="51">
        <v>334</v>
      </c>
      <c r="BT6" s="556">
        <v>677</v>
      </c>
      <c r="BU6" s="556">
        <v>720</v>
      </c>
      <c r="BV6" s="1304"/>
      <c r="BW6" s="1388"/>
      <c r="BX6" s="588"/>
      <c r="BY6" s="1495"/>
      <c r="BZ6" s="1524"/>
      <c r="CA6" s="575"/>
      <c r="CB6" s="558"/>
      <c r="CC6" s="576"/>
      <c r="CD6" s="591"/>
      <c r="CE6" s="1338"/>
      <c r="CF6" s="1388"/>
      <c r="CG6" s="1304"/>
      <c r="CH6" s="1388"/>
      <c r="CI6" s="318">
        <v>110789</v>
      </c>
      <c r="CJ6" s="319"/>
      <c r="CK6" s="319"/>
      <c r="CL6" s="320">
        <v>42770</v>
      </c>
      <c r="CM6" s="319"/>
      <c r="CN6" s="321"/>
      <c r="CO6" s="318">
        <v>100120</v>
      </c>
      <c r="CP6" s="319"/>
      <c r="CQ6" s="319"/>
      <c r="CR6" s="78">
        <v>303</v>
      </c>
      <c r="CS6" s="79">
        <v>326</v>
      </c>
      <c r="CT6" s="79">
        <v>32421</v>
      </c>
      <c r="CU6" s="78">
        <v>173</v>
      </c>
      <c r="CV6" s="79">
        <v>158</v>
      </c>
      <c r="CW6" s="80">
        <v>16323</v>
      </c>
      <c r="CX6" s="78">
        <v>79</v>
      </c>
      <c r="CY6" s="79">
        <v>86</v>
      </c>
      <c r="CZ6" s="80">
        <v>9036</v>
      </c>
      <c r="DA6" s="194">
        <v>214</v>
      </c>
      <c r="DB6" s="355">
        <v>24064</v>
      </c>
    </row>
    <row r="7" spans="1:106">
      <c r="A7" s="18" t="s">
        <v>38</v>
      </c>
      <c r="B7" s="32">
        <v>1223</v>
      </c>
      <c r="C7" s="1364"/>
      <c r="D7" s="1317"/>
      <c r="E7" s="32">
        <v>467</v>
      </c>
      <c r="F7" s="616">
        <v>711</v>
      </c>
      <c r="G7" s="616">
        <v>4900</v>
      </c>
      <c r="H7" s="31">
        <v>695</v>
      </c>
      <c r="I7" s="1473"/>
      <c r="J7" s="1494"/>
      <c r="K7" s="1500"/>
      <c r="L7" s="1309"/>
      <c r="M7" s="50">
        <v>6375</v>
      </c>
      <c r="N7" s="610">
        <v>5511</v>
      </c>
      <c r="O7" s="601">
        <v>25681</v>
      </c>
      <c r="P7" s="51">
        <v>5557</v>
      </c>
      <c r="Q7" s="1492"/>
      <c r="R7" s="1367"/>
      <c r="S7" s="51">
        <v>3294</v>
      </c>
      <c r="T7" s="1473"/>
      <c r="U7" s="1274"/>
      <c r="V7" s="1304"/>
      <c r="W7" s="1388"/>
      <c r="X7" s="175"/>
      <c r="Y7" s="603">
        <v>9.5</v>
      </c>
      <c r="Z7" s="601">
        <v>108</v>
      </c>
      <c r="AA7" s="1488"/>
      <c r="AB7" s="1537"/>
      <c r="AC7" s="1367"/>
      <c r="AD7" s="177"/>
      <c r="AE7" s="1471"/>
      <c r="AF7" s="1494"/>
      <c r="AG7" s="598">
        <v>14</v>
      </c>
      <c r="AH7" s="599">
        <v>155</v>
      </c>
      <c r="AI7" s="50">
        <v>6676</v>
      </c>
      <c r="AJ7" s="606">
        <v>6144</v>
      </c>
      <c r="AK7" s="607">
        <v>28583</v>
      </c>
      <c r="AL7" s="51">
        <v>2777</v>
      </c>
      <c r="AM7" s="1477"/>
      <c r="AN7" s="1475"/>
      <c r="AO7" s="51">
        <v>3893</v>
      </c>
      <c r="AP7" s="1473"/>
      <c r="AQ7" s="1471"/>
      <c r="AR7" s="1518"/>
      <c r="AS7" s="1388"/>
      <c r="AT7" s="50">
        <v>63382.83</v>
      </c>
      <c r="AU7" s="51">
        <f t="shared" si="0"/>
        <v>88955.101796442003</v>
      </c>
      <c r="AV7" s="194">
        <v>54263.654522000004</v>
      </c>
      <c r="AW7" s="52">
        <f t="shared" si="1"/>
        <v>68977.608012125595</v>
      </c>
      <c r="AX7">
        <v>73222.836356</v>
      </c>
      <c r="AY7" s="197">
        <f t="shared" si="2"/>
        <v>93078.087107965664</v>
      </c>
      <c r="AZ7" s="1465"/>
      <c r="BA7" s="1389"/>
      <c r="BB7" s="188">
        <v>0.48</v>
      </c>
      <c r="BC7" s="1520"/>
      <c r="BD7" s="51">
        <v>0</v>
      </c>
      <c r="BE7" s="71">
        <v>0.33</v>
      </c>
      <c r="BF7" s="188">
        <v>0</v>
      </c>
      <c r="BG7" s="537">
        <v>0</v>
      </c>
      <c r="BH7" s="85">
        <v>0.17</v>
      </c>
      <c r="BI7" s="1473"/>
      <c r="BJ7" s="1329"/>
      <c r="BK7" s="1558"/>
      <c r="BL7" s="1306"/>
      <c r="BM7" s="202">
        <v>868</v>
      </c>
      <c r="BN7" s="201">
        <v>470</v>
      </c>
      <c r="BO7" s="201">
        <v>924</v>
      </c>
      <c r="BP7" s="50">
        <v>38</v>
      </c>
      <c r="BQ7" s="539">
        <v>597</v>
      </c>
      <c r="BR7" s="601">
        <v>742</v>
      </c>
      <c r="BS7" s="51">
        <v>603</v>
      </c>
      <c r="BT7" s="556">
        <v>655</v>
      </c>
      <c r="BU7" s="556">
        <v>696</v>
      </c>
      <c r="BV7" s="1304"/>
      <c r="BW7" s="1388"/>
      <c r="BX7" s="588"/>
      <c r="BY7" s="1495"/>
      <c r="BZ7" s="1524"/>
      <c r="CA7" s="575"/>
      <c r="CB7" s="558"/>
      <c r="CC7" s="576"/>
      <c r="CD7" s="591"/>
      <c r="CE7" s="1338"/>
      <c r="CF7" s="1388"/>
      <c r="CG7" s="1304"/>
      <c r="CH7" s="1388"/>
      <c r="CI7" s="318">
        <v>80774</v>
      </c>
      <c r="CJ7" s="319"/>
      <c r="CK7" s="319"/>
      <c r="CL7" s="320">
        <v>31226</v>
      </c>
      <c r="CM7" s="319"/>
      <c r="CN7" s="321"/>
      <c r="CO7" s="318">
        <v>92429</v>
      </c>
      <c r="CP7" s="319"/>
      <c r="CQ7" s="319"/>
      <c r="CR7" s="78">
        <v>296</v>
      </c>
      <c r="CS7" s="79">
        <v>270</v>
      </c>
      <c r="CT7" s="79">
        <v>26845</v>
      </c>
      <c r="CU7" s="78">
        <v>92</v>
      </c>
      <c r="CV7" s="79">
        <v>82</v>
      </c>
      <c r="CW7" s="80">
        <v>8458</v>
      </c>
      <c r="CX7" s="78">
        <v>76</v>
      </c>
      <c r="CY7" s="79">
        <v>62</v>
      </c>
      <c r="CZ7" s="80">
        <v>6495</v>
      </c>
      <c r="DA7" s="194">
        <v>211</v>
      </c>
      <c r="DB7" s="355">
        <v>23727</v>
      </c>
    </row>
    <row r="8" spans="1:106">
      <c r="A8" s="18" t="s">
        <v>39</v>
      </c>
      <c r="B8" s="32">
        <v>949</v>
      </c>
      <c r="C8" s="1364"/>
      <c r="D8" s="1317"/>
      <c r="E8" s="32">
        <v>212</v>
      </c>
      <c r="F8" s="616">
        <v>688</v>
      </c>
      <c r="G8" s="616">
        <v>4742</v>
      </c>
      <c r="H8" s="31">
        <v>857</v>
      </c>
      <c r="I8" s="1473"/>
      <c r="J8" s="1494"/>
      <c r="K8" s="1500"/>
      <c r="L8" s="1309"/>
      <c r="M8" s="50">
        <v>5266</v>
      </c>
      <c r="N8" s="610">
        <v>5695</v>
      </c>
      <c r="O8" s="601">
        <v>26537</v>
      </c>
      <c r="P8" s="51">
        <v>4609</v>
      </c>
      <c r="Q8" s="1492"/>
      <c r="R8" s="1367"/>
      <c r="S8" s="51">
        <v>3892</v>
      </c>
      <c r="T8" s="1473"/>
      <c r="U8" s="1274"/>
      <c r="V8" s="1304"/>
      <c r="W8" s="1388"/>
      <c r="X8" s="175"/>
      <c r="Y8" s="603">
        <v>9.8000000000000007</v>
      </c>
      <c r="Z8" s="601">
        <v>112</v>
      </c>
      <c r="AA8" s="1488"/>
      <c r="AB8" s="1537"/>
      <c r="AC8" s="1367"/>
      <c r="AD8" s="177"/>
      <c r="AE8" s="1471"/>
      <c r="AF8" s="1494"/>
      <c r="AG8" s="598">
        <v>14</v>
      </c>
      <c r="AH8" s="599">
        <v>161</v>
      </c>
      <c r="AI8" s="50">
        <v>5856</v>
      </c>
      <c r="AJ8" s="606">
        <v>6349</v>
      </c>
      <c r="AK8" s="607">
        <v>29536</v>
      </c>
      <c r="AL8" s="51">
        <v>3201</v>
      </c>
      <c r="AM8" s="1477"/>
      <c r="AN8" s="1475"/>
      <c r="AO8" s="51">
        <v>4970</v>
      </c>
      <c r="AP8" s="1473"/>
      <c r="AQ8" s="1471"/>
      <c r="AR8" s="1518"/>
      <c r="AS8" s="1388"/>
      <c r="AT8" s="50">
        <v>55093.38</v>
      </c>
      <c r="AU8" s="51">
        <f t="shared" si="0"/>
        <v>77321.211852011998</v>
      </c>
      <c r="AV8" s="194">
        <v>43708.090521999999</v>
      </c>
      <c r="AW8" s="52">
        <f t="shared" si="1"/>
        <v>55559.832111246789</v>
      </c>
      <c r="AX8">
        <v>44940.313730000002</v>
      </c>
      <c r="AY8" s="197">
        <f t="shared" si="2"/>
        <v>57126.419081654261</v>
      </c>
      <c r="AZ8" s="1465"/>
      <c r="BA8" s="1389"/>
      <c r="BB8" s="188">
        <v>12</v>
      </c>
      <c r="BC8" s="1520"/>
      <c r="BD8" s="51">
        <v>0</v>
      </c>
      <c r="BE8" s="175"/>
      <c r="BF8" s="1520">
        <v>0</v>
      </c>
      <c r="BG8" s="1367">
        <v>1243.3</v>
      </c>
      <c r="BH8" s="85">
        <v>0.85</v>
      </c>
      <c r="BI8" s="1473"/>
      <c r="BJ8" s="1329"/>
      <c r="BK8" s="1550">
        <v>0</v>
      </c>
      <c r="BL8" s="1475">
        <v>1243.3</v>
      </c>
      <c r="BM8" s="202">
        <v>740</v>
      </c>
      <c r="BN8" s="201">
        <v>3718</v>
      </c>
      <c r="BO8" s="201">
        <v>5471</v>
      </c>
      <c r="BP8" s="202">
        <v>29</v>
      </c>
      <c r="BQ8" s="571">
        <v>456</v>
      </c>
      <c r="BR8" s="608">
        <v>510</v>
      </c>
      <c r="BS8" s="51">
        <v>750</v>
      </c>
      <c r="BT8" s="556">
        <v>240</v>
      </c>
      <c r="BU8" s="556">
        <v>255</v>
      </c>
      <c r="BV8" s="1304"/>
      <c r="BW8" s="1388"/>
      <c r="BX8" s="588"/>
      <c r="BY8" s="1495"/>
      <c r="BZ8" s="1524"/>
      <c r="CA8" s="575"/>
      <c r="CB8" s="1556">
        <v>0</v>
      </c>
      <c r="CC8" s="1275">
        <v>1283.3</v>
      </c>
      <c r="CD8" s="591"/>
      <c r="CE8" s="1338"/>
      <c r="CF8" s="1388"/>
      <c r="CG8" s="1304"/>
      <c r="CH8" s="1388"/>
      <c r="CI8" s="318">
        <v>55515</v>
      </c>
      <c r="CJ8" s="319"/>
      <c r="CK8" s="319"/>
      <c r="CL8" s="320">
        <v>43885</v>
      </c>
      <c r="CM8" s="319"/>
      <c r="CN8" s="321"/>
      <c r="CO8" s="318">
        <v>51403</v>
      </c>
      <c r="CP8" s="319"/>
      <c r="CQ8" s="319"/>
      <c r="CR8" s="78">
        <v>238</v>
      </c>
      <c r="CS8" s="79">
        <v>250</v>
      </c>
      <c r="CT8" s="79">
        <v>24856</v>
      </c>
      <c r="CU8" s="78">
        <v>138</v>
      </c>
      <c r="CV8" s="79">
        <v>146</v>
      </c>
      <c r="CW8" s="80">
        <v>14436</v>
      </c>
      <c r="CX8" s="78">
        <v>210</v>
      </c>
      <c r="CY8" s="79">
        <v>220</v>
      </c>
      <c r="CZ8" s="80">
        <v>23048</v>
      </c>
      <c r="DA8" s="194">
        <v>241</v>
      </c>
      <c r="DB8" s="355">
        <v>27101</v>
      </c>
    </row>
    <row r="9" spans="1:106">
      <c r="A9" s="18" t="s">
        <v>40</v>
      </c>
      <c r="B9" s="32">
        <v>1259</v>
      </c>
      <c r="C9" s="1364"/>
      <c r="D9" s="1317"/>
      <c r="E9" s="32">
        <v>205</v>
      </c>
      <c r="F9" s="616">
        <v>711</v>
      </c>
      <c r="G9" s="616">
        <v>4900</v>
      </c>
      <c r="H9" s="31">
        <v>900</v>
      </c>
      <c r="I9" s="1473"/>
      <c r="J9" s="1494"/>
      <c r="K9" s="1500"/>
      <c r="L9" s="1309"/>
      <c r="M9" s="50">
        <v>4908</v>
      </c>
      <c r="N9" s="610">
        <v>5511</v>
      </c>
      <c r="O9" s="601">
        <v>25681</v>
      </c>
      <c r="P9" s="51">
        <v>4783</v>
      </c>
      <c r="Q9" s="1492"/>
      <c r="R9" s="1367"/>
      <c r="S9" s="51">
        <v>4677</v>
      </c>
      <c r="T9" s="1473"/>
      <c r="U9" s="1274"/>
      <c r="V9" s="1304"/>
      <c r="W9" s="1388"/>
      <c r="X9" s="175"/>
      <c r="Y9" s="603">
        <v>9.5</v>
      </c>
      <c r="Z9" s="601">
        <v>108</v>
      </c>
      <c r="AA9" s="1488"/>
      <c r="AB9" s="1537"/>
      <c r="AC9" s="1367"/>
      <c r="AD9" s="177"/>
      <c r="AE9" s="1471"/>
      <c r="AF9" s="1494"/>
      <c r="AG9" s="598">
        <v>14</v>
      </c>
      <c r="AH9" s="599">
        <v>155</v>
      </c>
      <c r="AI9" s="50">
        <v>4944</v>
      </c>
      <c r="AJ9" s="606">
        <v>6144</v>
      </c>
      <c r="AK9" s="607">
        <v>28583</v>
      </c>
      <c r="AL9" s="51">
        <v>4420</v>
      </c>
      <c r="AM9" s="1477"/>
      <c r="AN9" s="1475"/>
      <c r="AO9" s="51">
        <v>5044</v>
      </c>
      <c r="AP9" s="1473"/>
      <c r="AQ9" s="1471"/>
      <c r="AR9" s="1518"/>
      <c r="AS9" s="1388"/>
      <c r="AT9" s="50">
        <v>16777.512999999999</v>
      </c>
      <c r="AU9" s="51">
        <f t="shared" si="0"/>
        <v>23546.524773446199</v>
      </c>
      <c r="AV9" s="194">
        <v>19026.681887999999</v>
      </c>
      <c r="AW9" s="52">
        <f t="shared" si="1"/>
        <v>24185.894160699849</v>
      </c>
      <c r="AX9">
        <v>17208.069321999999</v>
      </c>
      <c r="AY9" s="197">
        <f t="shared" si="2"/>
        <v>21874.243815492162</v>
      </c>
      <c r="AZ9" s="1465"/>
      <c r="BA9" s="1389"/>
      <c r="BB9" s="188">
        <v>4</v>
      </c>
      <c r="BC9" s="1520"/>
      <c r="BD9" s="51">
        <v>0</v>
      </c>
      <c r="BE9" s="71">
        <v>4.3</v>
      </c>
      <c r="BF9" s="1520"/>
      <c r="BG9" s="1367"/>
      <c r="BH9" s="85">
        <v>2.6</v>
      </c>
      <c r="BI9" s="1495">
        <v>10.75</v>
      </c>
      <c r="BJ9" s="1367">
        <v>621.50440000000003</v>
      </c>
      <c r="BK9" s="1551"/>
      <c r="BL9" s="1553"/>
      <c r="BM9" s="202">
        <v>826</v>
      </c>
      <c r="BN9" s="201">
        <v>431</v>
      </c>
      <c r="BO9" s="201">
        <v>861</v>
      </c>
      <c r="BP9" s="202">
        <v>74</v>
      </c>
      <c r="BQ9" s="1473">
        <v>3461</v>
      </c>
      <c r="BR9" s="1326">
        <v>3777</v>
      </c>
      <c r="BS9" s="51">
        <v>915</v>
      </c>
      <c r="BT9" s="604">
        <v>525</v>
      </c>
      <c r="BU9" s="604">
        <v>583</v>
      </c>
      <c r="BV9" s="1304">
        <v>3294</v>
      </c>
      <c r="BW9" s="1367">
        <v>3844.4</v>
      </c>
      <c r="BX9" s="588"/>
      <c r="BY9" s="1525"/>
      <c r="BZ9" s="1528"/>
      <c r="CA9" s="575"/>
      <c r="CB9" s="1364"/>
      <c r="CC9" s="1389"/>
      <c r="CD9" s="591"/>
      <c r="CE9" s="1495">
        <v>0</v>
      </c>
      <c r="CF9" s="1367">
        <v>490.5</v>
      </c>
      <c r="CG9" s="1469">
        <v>0</v>
      </c>
      <c r="CH9" s="1367">
        <v>616</v>
      </c>
      <c r="CI9" s="318">
        <v>22332</v>
      </c>
      <c r="CJ9" s="319"/>
      <c r="CK9" s="319"/>
      <c r="CL9" s="320">
        <v>22729</v>
      </c>
      <c r="CM9" s="319"/>
      <c r="CN9" s="321"/>
      <c r="CO9" s="318">
        <v>22317</v>
      </c>
      <c r="CP9" s="319"/>
      <c r="CQ9" s="319"/>
      <c r="CR9" s="78">
        <v>277</v>
      </c>
      <c r="CS9" s="79">
        <v>266</v>
      </c>
      <c r="CT9" s="79">
        <v>26441</v>
      </c>
      <c r="CU9" s="78">
        <v>229</v>
      </c>
      <c r="CV9" s="79">
        <v>226</v>
      </c>
      <c r="CW9" s="80">
        <v>22389</v>
      </c>
      <c r="CX9" s="78">
        <v>229</v>
      </c>
      <c r="CY9" s="79">
        <v>221</v>
      </c>
      <c r="CZ9" s="80">
        <v>23196</v>
      </c>
      <c r="DA9" s="194">
        <v>195</v>
      </c>
      <c r="DB9" s="355">
        <v>21928</v>
      </c>
    </row>
    <row r="10" spans="1:106">
      <c r="A10" s="18" t="s">
        <v>41</v>
      </c>
      <c r="B10" s="32">
        <v>179</v>
      </c>
      <c r="C10" s="1364"/>
      <c r="D10" s="1317"/>
      <c r="E10" s="32">
        <v>155</v>
      </c>
      <c r="F10" s="616">
        <v>711</v>
      </c>
      <c r="G10" s="616">
        <v>4900</v>
      </c>
      <c r="H10" s="31">
        <v>179</v>
      </c>
      <c r="I10" s="1473"/>
      <c r="J10" s="1494"/>
      <c r="K10" s="1500"/>
      <c r="L10" s="1309"/>
      <c r="M10" s="50">
        <v>2579</v>
      </c>
      <c r="N10" s="610">
        <v>5695</v>
      </c>
      <c r="O10" s="601">
        <v>26537</v>
      </c>
      <c r="P10" s="51">
        <v>1544</v>
      </c>
      <c r="Q10" s="1492"/>
      <c r="R10" s="1367"/>
      <c r="S10" s="51">
        <v>1658</v>
      </c>
      <c r="T10" s="1473"/>
      <c r="U10" s="1274"/>
      <c r="V10" s="1304"/>
      <c r="W10" s="1388"/>
      <c r="X10" s="175"/>
      <c r="Y10" s="603">
        <v>9.8000000000000007</v>
      </c>
      <c r="Z10" s="601">
        <v>12</v>
      </c>
      <c r="AA10" s="1488"/>
      <c r="AB10" s="1537"/>
      <c r="AC10" s="1367"/>
      <c r="AD10" s="177"/>
      <c r="AE10" s="1471"/>
      <c r="AF10" s="1494"/>
      <c r="AG10" s="598">
        <v>14</v>
      </c>
      <c r="AH10" s="599">
        <v>161</v>
      </c>
      <c r="AI10" s="50">
        <v>2009</v>
      </c>
      <c r="AJ10" s="606">
        <v>6349</v>
      </c>
      <c r="AK10" s="607">
        <v>29536</v>
      </c>
      <c r="AL10" s="51">
        <v>2158</v>
      </c>
      <c r="AM10" s="1477"/>
      <c r="AN10" s="1475"/>
      <c r="AO10" s="51">
        <v>2094</v>
      </c>
      <c r="AP10" s="1473"/>
      <c r="AQ10" s="1471"/>
      <c r="AR10" s="1518"/>
      <c r="AS10" s="1388"/>
      <c r="AT10" s="50">
        <v>10100.285</v>
      </c>
      <c r="AU10" s="51">
        <f t="shared" si="0"/>
        <v>14175.319725358999</v>
      </c>
      <c r="AV10" s="194">
        <v>5846.1157880000001</v>
      </c>
      <c r="AW10" s="52">
        <f t="shared" si="1"/>
        <v>7431.3292528919792</v>
      </c>
      <c r="AX10">
        <v>8485.5623439999999</v>
      </c>
      <c r="AY10" s="197">
        <f t="shared" si="2"/>
        <v>10786.524400323728</v>
      </c>
      <c r="AZ10" s="1465"/>
      <c r="BA10" s="1389"/>
      <c r="BB10" s="570"/>
      <c r="BC10" s="70">
        <v>0</v>
      </c>
      <c r="BD10" s="51">
        <v>0</v>
      </c>
      <c r="BE10" s="71">
        <v>7.2999999999999995E-2</v>
      </c>
      <c r="BF10" s="1520"/>
      <c r="BG10" s="1367"/>
      <c r="BH10" s="85">
        <v>0.14000000000000001</v>
      </c>
      <c r="BI10" s="1555"/>
      <c r="BJ10" s="1388"/>
      <c r="BK10" s="1551"/>
      <c r="BL10" s="1553"/>
      <c r="BM10" s="202">
        <v>1.5</v>
      </c>
      <c r="BN10" s="605">
        <v>616</v>
      </c>
      <c r="BO10" s="621">
        <v>766</v>
      </c>
      <c r="BP10" s="202">
        <v>13</v>
      </c>
      <c r="BQ10" s="1522"/>
      <c r="BR10" s="1389"/>
      <c r="BS10" s="51">
        <v>16</v>
      </c>
      <c r="BT10" s="604">
        <v>542</v>
      </c>
      <c r="BU10" s="604">
        <v>603</v>
      </c>
      <c r="BV10" s="1304"/>
      <c r="BW10" s="1306"/>
      <c r="BX10" s="588"/>
      <c r="BY10" s="1526"/>
      <c r="BZ10" s="1372"/>
      <c r="CA10" s="575"/>
      <c r="CB10" s="1364"/>
      <c r="CC10" s="1389"/>
      <c r="CD10" s="591"/>
      <c r="CE10" s="1338"/>
      <c r="CF10" s="1388"/>
      <c r="CG10" s="1289"/>
      <c r="CH10" s="1317"/>
      <c r="CI10" s="318">
        <v>11529</v>
      </c>
      <c r="CJ10" s="319"/>
      <c r="CK10" s="319"/>
      <c r="CL10" s="320">
        <v>6868</v>
      </c>
      <c r="CM10" s="319"/>
      <c r="CN10" s="321"/>
      <c r="CO10" s="318">
        <v>9997</v>
      </c>
      <c r="CP10" s="319"/>
      <c r="CQ10" s="319"/>
      <c r="CR10" s="78">
        <v>75</v>
      </c>
      <c r="CS10" s="79">
        <v>80</v>
      </c>
      <c r="CT10" s="79">
        <v>7990</v>
      </c>
      <c r="CU10" s="78">
        <v>68</v>
      </c>
      <c r="CV10" s="79">
        <v>86</v>
      </c>
      <c r="CW10" s="80">
        <v>8479</v>
      </c>
      <c r="CX10" s="78">
        <v>50</v>
      </c>
      <c r="CY10" s="79">
        <v>42</v>
      </c>
      <c r="CZ10" s="80">
        <v>4409</v>
      </c>
      <c r="DA10" s="194">
        <v>71</v>
      </c>
      <c r="DB10" s="355">
        <v>7984</v>
      </c>
    </row>
    <row r="11" spans="1:106">
      <c r="A11" s="18" t="s">
        <v>42</v>
      </c>
      <c r="B11" s="32">
        <v>234</v>
      </c>
      <c r="C11" s="1364"/>
      <c r="D11" s="1317"/>
      <c r="E11" s="32">
        <v>191</v>
      </c>
      <c r="F11" s="616">
        <v>664</v>
      </c>
      <c r="G11" s="616">
        <v>4635</v>
      </c>
      <c r="H11" s="31">
        <v>220</v>
      </c>
      <c r="I11" s="1473"/>
      <c r="J11" s="1494"/>
      <c r="K11" s="1500"/>
      <c r="L11" s="1309"/>
      <c r="M11" s="50">
        <v>3195</v>
      </c>
      <c r="N11" s="610">
        <v>5695</v>
      </c>
      <c r="O11" s="601">
        <v>26537</v>
      </c>
      <c r="P11" s="51">
        <v>3633</v>
      </c>
      <c r="Q11" s="1492"/>
      <c r="R11" s="1367"/>
      <c r="S11" s="51">
        <v>1551</v>
      </c>
      <c r="T11" s="1473"/>
      <c r="U11" s="1274"/>
      <c r="V11" s="1304"/>
      <c r="W11" s="1388"/>
      <c r="X11" s="175"/>
      <c r="Y11" s="603">
        <v>9.8000000000000007</v>
      </c>
      <c r="Z11" s="601">
        <v>112</v>
      </c>
      <c r="AA11" s="1488"/>
      <c r="AB11" s="1537"/>
      <c r="AC11" s="1367"/>
      <c r="AD11" s="177"/>
      <c r="AE11" s="1471"/>
      <c r="AF11" s="1494"/>
      <c r="AG11" s="598">
        <v>14</v>
      </c>
      <c r="AH11" s="599">
        <v>161</v>
      </c>
      <c r="AI11" s="50">
        <v>3096</v>
      </c>
      <c r="AJ11" s="606">
        <v>6349</v>
      </c>
      <c r="AK11" s="607">
        <v>29536</v>
      </c>
      <c r="AL11" s="51">
        <v>2805</v>
      </c>
      <c r="AM11" s="1477"/>
      <c r="AN11" s="1475"/>
      <c r="AO11" s="51">
        <v>2921</v>
      </c>
      <c r="AP11" s="1473"/>
      <c r="AQ11" s="1471"/>
      <c r="AR11" s="1518"/>
      <c r="AS11" s="1388"/>
      <c r="AT11" s="50">
        <v>11827.509</v>
      </c>
      <c r="AU11" s="51">
        <f t="shared" si="0"/>
        <v>16599.405029616599</v>
      </c>
      <c r="AV11" s="194">
        <v>8762.2292320000015</v>
      </c>
      <c r="AW11" s="52">
        <f t="shared" si="1"/>
        <v>11138.166395192655</v>
      </c>
      <c r="AX11">
        <v>11666.676000000001</v>
      </c>
      <c r="AY11" s="197">
        <f t="shared" si="2"/>
        <v>14830.235197512</v>
      </c>
      <c r="AZ11" s="1465"/>
      <c r="BA11" s="1389"/>
      <c r="BB11" s="70">
        <v>6.1999999999999998E-3</v>
      </c>
      <c r="BC11" s="70">
        <v>0</v>
      </c>
      <c r="BD11" s="51">
        <v>0</v>
      </c>
      <c r="BE11" s="71">
        <v>9.1000000000000004E-3</v>
      </c>
      <c r="BF11" s="1520"/>
      <c r="BG11" s="1367"/>
      <c r="BH11" s="85">
        <v>4.2999999999999997E-2</v>
      </c>
      <c r="BI11" s="1555"/>
      <c r="BJ11" s="1388"/>
      <c r="BK11" s="1551"/>
      <c r="BL11" s="1553"/>
      <c r="BM11" s="50">
        <v>13</v>
      </c>
      <c r="BN11" s="605">
        <v>616</v>
      </c>
      <c r="BO11" s="621">
        <v>766</v>
      </c>
      <c r="BP11" s="202">
        <v>38</v>
      </c>
      <c r="BQ11" s="1522"/>
      <c r="BR11" s="1389"/>
      <c r="BS11" s="51">
        <v>16</v>
      </c>
      <c r="BT11" s="604">
        <v>542</v>
      </c>
      <c r="BU11" s="604">
        <v>603</v>
      </c>
      <c r="BV11" s="1304"/>
      <c r="BW11" s="1306"/>
      <c r="BX11" s="588"/>
      <c r="BY11" s="1526"/>
      <c r="BZ11" s="1372"/>
      <c r="CA11" s="575"/>
      <c r="CB11" s="1364"/>
      <c r="CC11" s="1389"/>
      <c r="CD11" s="591"/>
      <c r="CE11" s="1338"/>
      <c r="CF11" s="1388"/>
      <c r="CG11" s="1289"/>
      <c r="CH11" s="1317"/>
      <c r="CI11" s="318">
        <v>14039</v>
      </c>
      <c r="CJ11" s="319"/>
      <c r="CK11" s="319"/>
      <c r="CL11" s="320">
        <v>9421</v>
      </c>
      <c r="CM11" s="319"/>
      <c r="CN11" s="321"/>
      <c r="CO11" s="318">
        <v>13488</v>
      </c>
      <c r="CP11" s="319"/>
      <c r="CQ11" s="319"/>
      <c r="CR11" s="78">
        <v>212</v>
      </c>
      <c r="CS11" s="79">
        <v>208</v>
      </c>
      <c r="CT11" s="79">
        <v>20735</v>
      </c>
      <c r="CU11" s="78">
        <v>268</v>
      </c>
      <c r="CV11" s="79">
        <v>276</v>
      </c>
      <c r="CW11" s="80">
        <v>27282</v>
      </c>
      <c r="CX11" s="78">
        <v>66</v>
      </c>
      <c r="CY11" s="79">
        <v>38</v>
      </c>
      <c r="CZ11" s="80">
        <v>3928</v>
      </c>
      <c r="DA11" s="194">
        <v>204</v>
      </c>
      <c r="DB11" s="355">
        <v>22940</v>
      </c>
    </row>
    <row r="12" spans="1:106">
      <c r="A12" s="18" t="s">
        <v>43</v>
      </c>
      <c r="B12" s="32">
        <v>1007</v>
      </c>
      <c r="C12" s="1364"/>
      <c r="D12" s="1317"/>
      <c r="E12" s="31">
        <v>979</v>
      </c>
      <c r="F12" s="616">
        <v>706</v>
      </c>
      <c r="G12" s="616">
        <v>5077</v>
      </c>
      <c r="H12" s="31">
        <v>998</v>
      </c>
      <c r="I12" s="1473"/>
      <c r="J12" s="1494"/>
      <c r="K12" s="1500"/>
      <c r="L12" s="1309"/>
      <c r="M12" s="50">
        <v>4424</v>
      </c>
      <c r="N12" s="610">
        <v>5242</v>
      </c>
      <c r="O12" s="601">
        <v>24492</v>
      </c>
      <c r="P12" s="51">
        <v>4605</v>
      </c>
      <c r="Q12" s="1492"/>
      <c r="R12" s="1367"/>
      <c r="S12" s="51">
        <v>2734</v>
      </c>
      <c r="T12" s="1473"/>
      <c r="U12" s="1274"/>
      <c r="V12" s="1304"/>
      <c r="W12" s="1388"/>
      <c r="X12" s="175"/>
      <c r="Y12" s="603">
        <v>9.1</v>
      </c>
      <c r="Z12" s="601">
        <v>105</v>
      </c>
      <c r="AA12" s="1488"/>
      <c r="AB12" s="1537"/>
      <c r="AC12" s="1367"/>
      <c r="AD12" s="177"/>
      <c r="AE12" s="1471"/>
      <c r="AF12" s="1494"/>
      <c r="AG12" s="598">
        <v>13</v>
      </c>
      <c r="AH12" s="599">
        <v>150</v>
      </c>
      <c r="AI12" s="50">
        <v>6694</v>
      </c>
      <c r="AJ12" s="606">
        <v>6349</v>
      </c>
      <c r="AK12" s="607">
        <v>26996</v>
      </c>
      <c r="AL12" s="51">
        <v>6769</v>
      </c>
      <c r="AM12" s="1477"/>
      <c r="AN12" s="1475"/>
      <c r="AO12" s="51">
        <v>5676</v>
      </c>
      <c r="AP12" s="1473"/>
      <c r="AQ12" s="1471"/>
      <c r="AR12" s="1518"/>
      <c r="AS12" s="1388"/>
      <c r="AT12" s="50">
        <v>38965.589999999997</v>
      </c>
      <c r="AU12" s="51">
        <f t="shared" si="0"/>
        <v>54686.545630865992</v>
      </c>
      <c r="AV12" s="194">
        <v>27320.299633999999</v>
      </c>
      <c r="AW12" s="52">
        <f t="shared" si="1"/>
        <v>34728.381925766647</v>
      </c>
      <c r="AX12">
        <v>27986.133500000004</v>
      </c>
      <c r="AY12" s="197">
        <f t="shared" si="2"/>
        <v>35574.909432127002</v>
      </c>
      <c r="AZ12" s="1465"/>
      <c r="BA12" s="1389"/>
      <c r="BB12" s="70">
        <v>0.37</v>
      </c>
      <c r="BC12" s="70">
        <v>0</v>
      </c>
      <c r="BD12" s="51">
        <v>0</v>
      </c>
      <c r="BE12" s="71">
        <v>0.22</v>
      </c>
      <c r="BF12" s="1520"/>
      <c r="BG12" s="1367"/>
      <c r="BH12" s="85">
        <v>4.8000000000000001E-2</v>
      </c>
      <c r="BI12" s="1555"/>
      <c r="BJ12" s="1388"/>
      <c r="BK12" s="1551"/>
      <c r="BL12" s="1553"/>
      <c r="BM12" s="50">
        <v>741</v>
      </c>
      <c r="BN12" s="605">
        <v>597</v>
      </c>
      <c r="BO12" s="621">
        <v>742</v>
      </c>
      <c r="BP12" s="202">
        <v>837</v>
      </c>
      <c r="BQ12" s="1522"/>
      <c r="BR12" s="1389"/>
      <c r="BS12" s="51">
        <v>500</v>
      </c>
      <c r="BT12" s="604">
        <v>525</v>
      </c>
      <c r="BU12" s="604">
        <v>583</v>
      </c>
      <c r="BV12" s="1304"/>
      <c r="BW12" s="1306"/>
      <c r="BX12" s="588"/>
      <c r="BY12" s="1526"/>
      <c r="BZ12" s="1372"/>
      <c r="CA12" s="575"/>
      <c r="CB12" s="1364"/>
      <c r="CC12" s="1389"/>
      <c r="CD12" s="591"/>
      <c r="CE12" s="1338"/>
      <c r="CF12" s="1388"/>
      <c r="CG12" s="1289"/>
      <c r="CH12" s="1317"/>
      <c r="CI12" s="318">
        <v>39679</v>
      </c>
      <c r="CJ12" s="319"/>
      <c r="CK12" s="319"/>
      <c r="CL12" s="320">
        <v>30599</v>
      </c>
      <c r="CM12" s="319"/>
      <c r="CN12" s="321"/>
      <c r="CO12" s="318">
        <v>29220</v>
      </c>
      <c r="CP12" s="319"/>
      <c r="CQ12" s="319"/>
      <c r="CR12" s="78">
        <v>209</v>
      </c>
      <c r="CS12" s="79">
        <v>239</v>
      </c>
      <c r="CT12" s="79">
        <v>23763</v>
      </c>
      <c r="CU12" s="78">
        <v>243</v>
      </c>
      <c r="CV12" s="79">
        <v>212</v>
      </c>
      <c r="CW12" s="80">
        <v>20959</v>
      </c>
      <c r="CX12" s="78">
        <v>364</v>
      </c>
      <c r="CY12" s="79">
        <v>400</v>
      </c>
      <c r="CZ12" s="80">
        <v>41905</v>
      </c>
      <c r="DA12" s="194">
        <v>148</v>
      </c>
      <c r="DB12" s="355">
        <v>16643</v>
      </c>
    </row>
    <row r="13" spans="1:106">
      <c r="A13" s="18" t="s">
        <v>44</v>
      </c>
      <c r="B13" s="32">
        <v>1186</v>
      </c>
      <c r="C13" s="1364"/>
      <c r="D13" s="1317"/>
      <c r="E13" s="32">
        <v>657</v>
      </c>
      <c r="F13" s="1470">
        <v>2276</v>
      </c>
      <c r="G13" s="1470">
        <v>16378.54</v>
      </c>
      <c r="H13" s="31">
        <v>1010</v>
      </c>
      <c r="I13" s="1473"/>
      <c r="J13" s="1494"/>
      <c r="K13" s="1469">
        <f>27+3011</f>
        <v>3038</v>
      </c>
      <c r="L13" s="1481">
        <v>18745.099999999999</v>
      </c>
      <c r="M13" s="50">
        <v>5898</v>
      </c>
      <c r="N13" s="1492">
        <v>16742</v>
      </c>
      <c r="O13" s="1367">
        <v>78664.714000000007</v>
      </c>
      <c r="P13" s="51">
        <v>4565</v>
      </c>
      <c r="Q13" s="1489">
        <v>16193</v>
      </c>
      <c r="R13" s="1275">
        <v>76981.820000000007</v>
      </c>
      <c r="S13" s="51">
        <v>5925</v>
      </c>
      <c r="T13" s="1473"/>
      <c r="U13" s="1274"/>
      <c r="V13" s="1420">
        <v>17359</v>
      </c>
      <c r="W13" s="1275">
        <v>83175.7</v>
      </c>
      <c r="X13" s="1485"/>
      <c r="Y13" s="1365">
        <v>32.200000000000003</v>
      </c>
      <c r="Z13" s="1367">
        <v>359.80560000000003</v>
      </c>
      <c r="AA13" s="1469"/>
      <c r="AB13" s="1365">
        <v>33</v>
      </c>
      <c r="AC13" s="1367">
        <v>370.2</v>
      </c>
      <c r="AD13" s="177"/>
      <c r="AE13" s="177">
        <v>13</v>
      </c>
      <c r="AF13" s="177">
        <v>152</v>
      </c>
      <c r="AG13" s="1480">
        <v>44</v>
      </c>
      <c r="AH13" s="1481">
        <v>481.8</v>
      </c>
      <c r="AI13" s="50">
        <v>7940</v>
      </c>
      <c r="AJ13" s="1544">
        <v>17501</v>
      </c>
      <c r="AK13" s="1547">
        <v>82282.87</v>
      </c>
      <c r="AL13" s="51">
        <v>4853</v>
      </c>
      <c r="AM13" s="1477"/>
      <c r="AN13" s="1475"/>
      <c r="AO13" s="51">
        <v>6424</v>
      </c>
      <c r="AP13" s="1538">
        <v>17825</v>
      </c>
      <c r="AQ13" s="1541">
        <v>93872.489700000006</v>
      </c>
      <c r="AR13" s="1512">
        <v>13536</v>
      </c>
      <c r="AS13" s="1475">
        <v>66031.7</v>
      </c>
      <c r="AT13" s="50">
        <v>70503.667000000001</v>
      </c>
      <c r="AU13" s="51">
        <f t="shared" si="0"/>
        <v>98948.893178285798</v>
      </c>
      <c r="AV13" s="194">
        <v>66810.053448000006</v>
      </c>
      <c r="AW13" s="52">
        <f t="shared" si="1"/>
        <v>84926.047067783307</v>
      </c>
      <c r="AX13">
        <v>82441.454842000006</v>
      </c>
      <c r="AY13" s="197">
        <f t="shared" si="2"/>
        <v>104796.44461986641</v>
      </c>
      <c r="AZ13" s="1465"/>
      <c r="BA13" s="1389"/>
      <c r="BB13" s="70">
        <v>11</v>
      </c>
      <c r="BC13" s="70">
        <v>0</v>
      </c>
      <c r="BD13" s="51">
        <v>0</v>
      </c>
      <c r="BE13" s="71">
        <v>2.0899999999999998E-2</v>
      </c>
      <c r="BF13" s="1520"/>
      <c r="BG13" s="1367"/>
      <c r="BH13" s="85">
        <v>3.8</v>
      </c>
      <c r="BI13" s="1555"/>
      <c r="BJ13" s="1388"/>
      <c r="BK13" s="1551"/>
      <c r="BL13" s="1553"/>
      <c r="BM13" s="50">
        <v>844</v>
      </c>
      <c r="BN13" s="605">
        <v>616</v>
      </c>
      <c r="BO13" s="621">
        <v>766</v>
      </c>
      <c r="BP13" s="202">
        <v>659</v>
      </c>
      <c r="BQ13" s="1522"/>
      <c r="BR13" s="1389"/>
      <c r="BS13" s="51">
        <v>562</v>
      </c>
      <c r="BT13" s="604">
        <v>542</v>
      </c>
      <c r="BU13" s="604">
        <v>603</v>
      </c>
      <c r="BV13" s="1304"/>
      <c r="BW13" s="1306"/>
      <c r="BX13" s="588"/>
      <c r="BY13" s="1526"/>
      <c r="BZ13" s="1372"/>
      <c r="CA13" s="575"/>
      <c r="CB13" s="1364"/>
      <c r="CC13" s="1389"/>
      <c r="CD13" s="591"/>
      <c r="CE13" s="1338"/>
      <c r="CF13" s="1388"/>
      <c r="CG13" s="1289"/>
      <c r="CH13" s="1317"/>
      <c r="CI13" s="318">
        <v>78262</v>
      </c>
      <c r="CJ13" s="319"/>
      <c r="CK13" s="319"/>
      <c r="CL13" s="320">
        <v>67336</v>
      </c>
      <c r="CM13" s="319"/>
      <c r="CN13" s="321"/>
      <c r="CO13" s="318">
        <v>89860</v>
      </c>
      <c r="CP13" s="319"/>
      <c r="CQ13" s="319"/>
      <c r="CR13" s="78">
        <v>296</v>
      </c>
      <c r="CS13" s="79">
        <v>288</v>
      </c>
      <c r="CT13" s="79">
        <v>28714</v>
      </c>
      <c r="CU13" s="78">
        <v>131</v>
      </c>
      <c r="CV13" s="79">
        <v>145</v>
      </c>
      <c r="CW13" s="80">
        <v>14381</v>
      </c>
      <c r="CX13" s="78">
        <v>209</v>
      </c>
      <c r="CY13" s="79">
        <v>227</v>
      </c>
      <c r="CZ13" s="80">
        <v>23825</v>
      </c>
      <c r="DA13" s="194">
        <v>190</v>
      </c>
      <c r="DB13" s="355">
        <v>21366</v>
      </c>
    </row>
    <row r="14" spans="1:106">
      <c r="A14" s="18" t="s">
        <v>45</v>
      </c>
      <c r="B14" s="32">
        <v>1129</v>
      </c>
      <c r="C14" s="1364"/>
      <c r="D14" s="1317"/>
      <c r="E14" s="32">
        <v>614</v>
      </c>
      <c r="F14" s="1471">
        <v>683</v>
      </c>
      <c r="G14" s="1471">
        <v>4914</v>
      </c>
      <c r="H14" s="31">
        <v>1102</v>
      </c>
      <c r="I14" s="1495">
        <v>2810</v>
      </c>
      <c r="J14" s="1481">
        <v>12666.21</v>
      </c>
      <c r="K14" s="1502"/>
      <c r="L14" s="1531"/>
      <c r="M14" s="50">
        <v>5725</v>
      </c>
      <c r="N14" s="1492"/>
      <c r="O14" s="1367"/>
      <c r="P14" s="51">
        <v>4946</v>
      </c>
      <c r="Q14" s="1489"/>
      <c r="R14" s="1275"/>
      <c r="S14" s="51">
        <v>6081</v>
      </c>
      <c r="T14" s="1495">
        <v>15788</v>
      </c>
      <c r="U14" s="1367">
        <v>83328.259300000005</v>
      </c>
      <c r="V14" s="1533"/>
      <c r="W14" s="1534"/>
      <c r="X14" s="1304"/>
      <c r="Y14" s="1486"/>
      <c r="Z14" s="1388"/>
      <c r="AA14" s="1304"/>
      <c r="AB14" s="1478"/>
      <c r="AC14" s="1388"/>
      <c r="AD14" s="177"/>
      <c r="AE14" s="177">
        <v>14</v>
      </c>
      <c r="AF14" s="177">
        <v>155</v>
      </c>
      <c r="AG14" s="1355"/>
      <c r="AH14" s="1358"/>
      <c r="AI14" s="50">
        <v>7970</v>
      </c>
      <c r="AJ14" s="1545"/>
      <c r="AK14" s="1548"/>
      <c r="AL14" s="51">
        <v>4118</v>
      </c>
      <c r="AM14" s="1483">
        <v>16362</v>
      </c>
      <c r="AN14" s="1326">
        <v>77954.3</v>
      </c>
      <c r="AO14" s="51">
        <v>7311</v>
      </c>
      <c r="AP14" s="1539"/>
      <c r="AQ14" s="1542"/>
      <c r="AR14" s="1513"/>
      <c r="AS14" s="1515"/>
      <c r="AT14" s="50">
        <v>101064.8</v>
      </c>
      <c r="AU14" s="51">
        <f t="shared" si="0"/>
        <v>141840.14143952</v>
      </c>
      <c r="AV14" s="194">
        <v>104855.36166200001</v>
      </c>
      <c r="AW14" s="52">
        <f t="shared" si="1"/>
        <v>133287.59550757444</v>
      </c>
      <c r="AX14">
        <v>104638.417044</v>
      </c>
      <c r="AY14" s="197">
        <f t="shared" si="2"/>
        <v>133012.37948648512</v>
      </c>
      <c r="AZ14" s="1465"/>
      <c r="BA14" s="1389"/>
      <c r="BB14" s="70">
        <v>2.7</v>
      </c>
      <c r="BC14" s="70">
        <v>11</v>
      </c>
      <c r="BD14" s="51">
        <v>82</v>
      </c>
      <c r="BE14" s="71">
        <v>1.4E-3</v>
      </c>
      <c r="BF14" s="1520"/>
      <c r="BG14" s="1367"/>
      <c r="BH14" s="85">
        <v>8.1999999999999993</v>
      </c>
      <c r="BI14" s="1555"/>
      <c r="BJ14" s="1388"/>
      <c r="BK14" s="1551"/>
      <c r="BL14" s="1553"/>
      <c r="BM14" s="50">
        <v>797</v>
      </c>
      <c r="BN14" s="605">
        <v>597</v>
      </c>
      <c r="BO14" s="621">
        <v>742</v>
      </c>
      <c r="BP14" s="202">
        <v>681</v>
      </c>
      <c r="BQ14" s="1522"/>
      <c r="BR14" s="1389"/>
      <c r="BS14" s="51">
        <v>593</v>
      </c>
      <c r="BT14" s="604">
        <v>525</v>
      </c>
      <c r="BU14" s="604">
        <v>583</v>
      </c>
      <c r="BV14" s="1304"/>
      <c r="BW14" s="1306"/>
      <c r="BX14" s="588"/>
      <c r="BY14" s="1526"/>
      <c r="BZ14" s="1372"/>
      <c r="CA14" s="575"/>
      <c r="CB14" s="1364"/>
      <c r="CC14" s="1389"/>
      <c r="CD14" s="591"/>
      <c r="CE14" s="1338"/>
      <c r="CF14" s="1388"/>
      <c r="CG14" s="1289"/>
      <c r="CH14" s="1317"/>
      <c r="CI14" s="318">
        <v>106608</v>
      </c>
      <c r="CJ14" s="319"/>
      <c r="CK14" s="319"/>
      <c r="CL14" s="320">
        <v>119109</v>
      </c>
      <c r="CM14" s="319"/>
      <c r="CN14" s="321"/>
      <c r="CO14" s="318">
        <v>111210</v>
      </c>
      <c r="CP14" s="319"/>
      <c r="CQ14" s="319"/>
      <c r="CR14" s="78">
        <v>290</v>
      </c>
      <c r="CS14" s="79">
        <v>281</v>
      </c>
      <c r="CT14" s="79">
        <v>27968</v>
      </c>
      <c r="CU14" s="78">
        <v>109</v>
      </c>
      <c r="CV14" s="79">
        <v>104</v>
      </c>
      <c r="CW14" s="80">
        <v>10314</v>
      </c>
      <c r="CX14" s="78">
        <v>243</v>
      </c>
      <c r="CY14" s="79">
        <v>224</v>
      </c>
      <c r="CZ14" s="80">
        <v>23486</v>
      </c>
      <c r="DA14" s="194">
        <v>201</v>
      </c>
      <c r="DB14" s="355">
        <v>22603</v>
      </c>
    </row>
    <row r="15" spans="1:106">
      <c r="A15" s="19" t="s">
        <v>46</v>
      </c>
      <c r="B15" s="32">
        <v>1037</v>
      </c>
      <c r="C15" s="1366"/>
      <c r="D15" s="1318"/>
      <c r="E15" s="32">
        <v>660</v>
      </c>
      <c r="F15" s="1471">
        <v>683</v>
      </c>
      <c r="G15" s="1471">
        <v>4914</v>
      </c>
      <c r="H15" s="31">
        <v>751</v>
      </c>
      <c r="I15" s="1496"/>
      <c r="J15" s="1497"/>
      <c r="K15" s="1503"/>
      <c r="L15" s="1532"/>
      <c r="M15" s="190">
        <v>6694</v>
      </c>
      <c r="N15" s="1498"/>
      <c r="O15" s="1380"/>
      <c r="P15" s="192">
        <v>4738</v>
      </c>
      <c r="Q15" s="1490"/>
      <c r="R15" s="1312"/>
      <c r="S15" s="51">
        <v>6209</v>
      </c>
      <c r="T15" s="1339"/>
      <c r="U15" s="1433"/>
      <c r="V15" s="1315"/>
      <c r="W15" s="1535"/>
      <c r="X15" s="1305"/>
      <c r="Y15" s="1479"/>
      <c r="Z15" s="1433"/>
      <c r="AA15" s="1305"/>
      <c r="AB15" s="1479"/>
      <c r="AC15" s="1433"/>
      <c r="AD15" s="177"/>
      <c r="AE15" s="177">
        <v>14</v>
      </c>
      <c r="AF15" s="177">
        <v>161</v>
      </c>
      <c r="AG15" s="1356"/>
      <c r="AH15" s="1359"/>
      <c r="AI15" s="50">
        <v>6768</v>
      </c>
      <c r="AJ15" s="1546"/>
      <c r="AK15" s="1549"/>
      <c r="AL15" s="51">
        <v>4878</v>
      </c>
      <c r="AM15" s="1484"/>
      <c r="AN15" s="1327"/>
      <c r="AO15" s="51">
        <v>5470</v>
      </c>
      <c r="AP15" s="1540"/>
      <c r="AQ15" s="1543"/>
      <c r="AR15" s="1514"/>
      <c r="AS15" s="1516"/>
      <c r="AT15" s="190">
        <v>126855.93</v>
      </c>
      <c r="AU15" s="192">
        <f t="shared" si="0"/>
        <v>178036.893692382</v>
      </c>
      <c r="AV15" s="195">
        <v>126580.93459800001</v>
      </c>
      <c r="AW15" s="191">
        <f t="shared" si="1"/>
        <v>160904.20310650949</v>
      </c>
      <c r="AX15">
        <v>131828.71657400002</v>
      </c>
      <c r="AY15" s="197">
        <f t="shared" si="2"/>
        <v>167575.65501763899</v>
      </c>
      <c r="AZ15" s="1466"/>
      <c r="BA15" s="1390"/>
      <c r="BB15" s="70">
        <v>1.3</v>
      </c>
      <c r="BC15" s="70">
        <v>11</v>
      </c>
      <c r="BD15" s="51">
        <v>82</v>
      </c>
      <c r="BE15" s="71">
        <v>8.3000000000000004E-2</v>
      </c>
      <c r="BF15" s="1521"/>
      <c r="BG15" s="1380"/>
      <c r="BH15" s="85">
        <v>0.93</v>
      </c>
      <c r="BI15" s="1496"/>
      <c r="BJ15" s="1433"/>
      <c r="BK15" s="1552"/>
      <c r="BL15" s="1554"/>
      <c r="BM15" s="50">
        <v>509</v>
      </c>
      <c r="BN15" s="572">
        <v>616</v>
      </c>
      <c r="BO15" s="622">
        <v>766</v>
      </c>
      <c r="BP15" s="203">
        <v>604</v>
      </c>
      <c r="BQ15" s="1523"/>
      <c r="BR15" s="1390"/>
      <c r="BS15" s="51">
        <v>484</v>
      </c>
      <c r="BT15" s="604">
        <v>542</v>
      </c>
      <c r="BU15" s="604">
        <v>603</v>
      </c>
      <c r="BV15" s="1305"/>
      <c r="BW15" s="1307"/>
      <c r="BX15" s="588"/>
      <c r="BY15" s="1527"/>
      <c r="BZ15" s="1373"/>
      <c r="CA15" s="575"/>
      <c r="CB15" s="1366"/>
      <c r="CC15" s="1390"/>
      <c r="CD15" s="591"/>
      <c r="CE15" s="1339"/>
      <c r="CF15" s="1433"/>
      <c r="CG15" s="1290"/>
      <c r="CH15" s="1318"/>
      <c r="CI15" s="318">
        <v>138848</v>
      </c>
      <c r="CJ15" s="319"/>
      <c r="CK15" s="319"/>
      <c r="CL15" s="320">
        <v>117006</v>
      </c>
      <c r="CM15" s="319"/>
      <c r="CN15" s="321"/>
      <c r="CO15" s="318">
        <v>131499</v>
      </c>
      <c r="CP15" s="319"/>
      <c r="CQ15" s="319"/>
      <c r="CR15" s="78">
        <v>227</v>
      </c>
      <c r="CS15" s="79">
        <v>275</v>
      </c>
      <c r="CT15" s="79">
        <v>27575</v>
      </c>
      <c r="CU15" s="78">
        <v>124</v>
      </c>
      <c r="CV15" s="79">
        <v>140</v>
      </c>
      <c r="CW15" s="80">
        <v>13999</v>
      </c>
      <c r="CX15" s="78">
        <v>166</v>
      </c>
      <c r="CY15" s="79">
        <v>187</v>
      </c>
      <c r="CZ15" s="80">
        <v>19722</v>
      </c>
      <c r="DA15" s="195">
        <v>159</v>
      </c>
      <c r="DB15" s="356">
        <v>17880</v>
      </c>
    </row>
    <row r="16" spans="1:106">
      <c r="A16" s="13" t="s">
        <v>4</v>
      </c>
      <c r="B16" s="411">
        <f>SUM(B4:B15)</f>
        <v>11745</v>
      </c>
      <c r="C16" s="411">
        <f t="shared" ref="C16:G16" si="3">SUM(C4:C15)</f>
        <v>11173</v>
      </c>
      <c r="D16" s="411">
        <f t="shared" si="3"/>
        <v>66032</v>
      </c>
      <c r="E16" s="411">
        <f t="shared" si="3"/>
        <v>6991</v>
      </c>
      <c r="F16" s="411">
        <f t="shared" si="3"/>
        <v>9920</v>
      </c>
      <c r="G16" s="411">
        <f t="shared" si="3"/>
        <v>69744.540000000008</v>
      </c>
      <c r="H16" s="412">
        <f>SUM(H4:H15)</f>
        <v>8417</v>
      </c>
      <c r="I16" s="564">
        <f>I4+I14+I15</f>
        <v>8431</v>
      </c>
      <c r="J16" s="413">
        <f>J4+J14+J15</f>
        <v>56947.27</v>
      </c>
      <c r="K16" s="563">
        <f>SUM(K4:K15)</f>
        <v>10781</v>
      </c>
      <c r="L16" s="411">
        <f>SUM(L4:L15)</f>
        <v>55838.07</v>
      </c>
      <c r="M16" s="185">
        <f t="shared" ref="M16:Z16" si="4">SUM(M4:M15)</f>
        <v>64836</v>
      </c>
      <c r="N16" s="593">
        <f t="shared" si="4"/>
        <v>66625</v>
      </c>
      <c r="O16" s="592">
        <f t="shared" si="4"/>
        <v>311172.71400000004</v>
      </c>
      <c r="P16" s="189">
        <f t="shared" si="4"/>
        <v>56884</v>
      </c>
      <c r="Q16" s="593">
        <f t="shared" si="4"/>
        <v>59626</v>
      </c>
      <c r="R16" s="594">
        <f t="shared" si="4"/>
        <v>283314.62</v>
      </c>
      <c r="S16" s="54">
        <f t="shared" si="4"/>
        <v>46767</v>
      </c>
      <c r="T16" s="54">
        <f t="shared" si="4"/>
        <v>44507</v>
      </c>
      <c r="U16" s="128">
        <f t="shared" si="4"/>
        <v>239121.64930000002</v>
      </c>
      <c r="V16" s="54">
        <f>SUM(V4:V15)</f>
        <v>62919</v>
      </c>
      <c r="W16" s="128">
        <f>SUM(W4:W15)</f>
        <v>329878.15000000002</v>
      </c>
      <c r="X16" s="66">
        <f t="shared" si="4"/>
        <v>0</v>
      </c>
      <c r="Y16" s="128">
        <f t="shared" si="4"/>
        <v>118.1</v>
      </c>
      <c r="Z16" s="128">
        <f t="shared" si="4"/>
        <v>1241.8056000000001</v>
      </c>
      <c r="AA16" s="53"/>
      <c r="AB16" s="128">
        <f>SUM(AB4:AB15)</f>
        <v>112.8</v>
      </c>
      <c r="AC16" s="128">
        <f t="shared" ref="AC16:AF16" si="5">SUM(AC4:AC15)</f>
        <v>1313.4192</v>
      </c>
      <c r="AD16" s="65">
        <f t="shared" si="5"/>
        <v>0</v>
      </c>
      <c r="AE16" s="65">
        <f t="shared" si="5"/>
        <v>130</v>
      </c>
      <c r="AF16" s="65">
        <f t="shared" si="5"/>
        <v>1582.03</v>
      </c>
      <c r="AG16" s="414">
        <f>SUM(AG4:AG15)</f>
        <v>168</v>
      </c>
      <c r="AH16" s="415">
        <f>SUM(AH4:AH15)</f>
        <v>1891.8</v>
      </c>
      <c r="AI16" s="53">
        <f>SUM(AI4:AI15)</f>
        <v>73620</v>
      </c>
      <c r="AJ16" s="439">
        <f t="shared" ref="AJ16:BU16" si="6">SUM(AJ4:AJ15)</f>
        <v>73618</v>
      </c>
      <c r="AK16" s="129">
        <f t="shared" si="6"/>
        <v>340802.87</v>
      </c>
      <c r="AL16" s="53">
        <f t="shared" si="6"/>
        <v>55200</v>
      </c>
      <c r="AM16" s="439">
        <f t="shared" si="6"/>
        <v>61766</v>
      </c>
      <c r="AN16" s="129">
        <f t="shared" si="6"/>
        <v>293797.89</v>
      </c>
      <c r="AO16" s="53">
        <f t="shared" si="6"/>
        <v>55276</v>
      </c>
      <c r="AP16" s="565">
        <f t="shared" si="6"/>
        <v>54123</v>
      </c>
      <c r="AQ16" s="566">
        <f t="shared" si="6"/>
        <v>288793.08970000001</v>
      </c>
      <c r="AR16" s="567">
        <f>SUM(AR4:AR15)</f>
        <v>56421</v>
      </c>
      <c r="AS16" s="568">
        <f>SUM(AS4:AS15)</f>
        <v>299735.5</v>
      </c>
      <c r="AT16" s="53">
        <f t="shared" si="6"/>
        <v>881911.82400000002</v>
      </c>
      <c r="AU16" s="53">
        <f t="shared" si="6"/>
        <v>1237725.6755402973</v>
      </c>
      <c r="AV16" s="53">
        <f t="shared" si="6"/>
        <v>807948.97969199996</v>
      </c>
      <c r="AW16" s="53">
        <f t="shared" si="6"/>
        <v>1027029.7587936495</v>
      </c>
      <c r="AX16" s="53">
        <f t="shared" si="6"/>
        <v>860322.91048000008</v>
      </c>
      <c r="AY16" s="53">
        <f t="shared" si="6"/>
        <v>1093609.7915315779</v>
      </c>
      <c r="AZ16" s="129">
        <f>SUM(AZ4:AZ15)</f>
        <v>719097</v>
      </c>
      <c r="BA16" s="463">
        <f>SUM(BA4:BA15)</f>
        <v>2018966</v>
      </c>
      <c r="BB16" s="54">
        <f t="shared" si="6"/>
        <v>38.436199999999999</v>
      </c>
      <c r="BC16" s="53">
        <f t="shared" si="6"/>
        <v>22</v>
      </c>
      <c r="BD16" s="53">
        <f t="shared" si="6"/>
        <v>164</v>
      </c>
      <c r="BE16" s="53">
        <f t="shared" si="6"/>
        <v>5.4834000000000005</v>
      </c>
      <c r="BF16" s="53">
        <f t="shared" si="6"/>
        <v>22</v>
      </c>
      <c r="BG16" s="129">
        <f t="shared" si="6"/>
        <v>1407.3</v>
      </c>
      <c r="BH16" s="53">
        <f t="shared" si="6"/>
        <v>16.907299999999999</v>
      </c>
      <c r="BI16" s="53">
        <f t="shared" si="6"/>
        <v>21.75</v>
      </c>
      <c r="BJ16" s="129">
        <f t="shared" si="6"/>
        <v>1926.0644</v>
      </c>
      <c r="BK16" s="74">
        <f>SUM(BK4:BK15)</f>
        <v>21.5</v>
      </c>
      <c r="BL16" s="130">
        <f>SUM(BL4:BL15)</f>
        <v>1639.9016999999999</v>
      </c>
      <c r="BM16" s="54">
        <f t="shared" si="6"/>
        <v>7736.5</v>
      </c>
      <c r="BN16" s="53">
        <f t="shared" si="6"/>
        <v>10831</v>
      </c>
      <c r="BO16" s="53">
        <f t="shared" si="6"/>
        <v>16229</v>
      </c>
      <c r="BP16" s="53">
        <f t="shared" si="6"/>
        <v>4600</v>
      </c>
      <c r="BQ16" s="129">
        <f t="shared" si="6"/>
        <v>6323</v>
      </c>
      <c r="BR16" s="129">
        <f t="shared" si="6"/>
        <v>7278</v>
      </c>
      <c r="BS16" s="53">
        <f t="shared" si="6"/>
        <v>6069</v>
      </c>
      <c r="BT16" s="53">
        <f t="shared" si="6"/>
        <v>6604</v>
      </c>
      <c r="BU16" s="53">
        <f t="shared" si="6"/>
        <v>7202</v>
      </c>
      <c r="BV16" s="53">
        <f>SUM(BV4:BV15)</f>
        <v>5872</v>
      </c>
      <c r="BW16" s="130">
        <f>SUM(BW4:BW15)</f>
        <v>6721.4</v>
      </c>
      <c r="BX16" s="54"/>
      <c r="BY16" s="54">
        <f>SUM(BY4:BY15)</f>
        <v>0</v>
      </c>
      <c r="BZ16" s="65">
        <f>SUM(BZ4:BZ15)</f>
        <v>386.55</v>
      </c>
      <c r="CA16" s="53"/>
      <c r="CB16" s="54">
        <f>SUM(CB8:CB15)</f>
        <v>0</v>
      </c>
      <c r="CC16" s="128">
        <f>SUM(CC8:CC15)</f>
        <v>1283.3</v>
      </c>
      <c r="CD16" s="596"/>
      <c r="CE16" s="199"/>
      <c r="CF16" s="573">
        <f>SUM(CF4:CF15)</f>
        <v>841.6</v>
      </c>
      <c r="CG16" s="53">
        <f>SUM(CG4:CG15)</f>
        <v>0</v>
      </c>
      <c r="CH16" s="130">
        <f>SUM(CH4:CH15)</f>
        <v>1597</v>
      </c>
      <c r="CI16" s="322">
        <f>SUM(CI4:CI15)</f>
        <v>974347</v>
      </c>
      <c r="CJ16" s="323"/>
      <c r="CK16" s="323"/>
      <c r="CL16" s="324">
        <f>SUM(CL4:CL15)</f>
        <v>860861</v>
      </c>
      <c r="CM16" s="323"/>
      <c r="CN16" s="325"/>
      <c r="CO16" s="322">
        <f>SUM(CO4:CO15)</f>
        <v>940942</v>
      </c>
      <c r="CP16" s="323"/>
      <c r="CQ16" s="323"/>
      <c r="CR16" s="81">
        <f>SUM(CR4:CR15)</f>
        <v>2948</v>
      </c>
      <c r="CS16" s="81">
        <f t="shared" ref="CS16:CZ16" si="7">SUM(CS4:CS15)</f>
        <v>2926</v>
      </c>
      <c r="CT16" s="81">
        <f t="shared" si="7"/>
        <v>291383</v>
      </c>
      <c r="CU16" s="81">
        <f t="shared" si="7"/>
        <v>2027</v>
      </c>
      <c r="CV16" s="81">
        <f t="shared" si="7"/>
        <v>1991</v>
      </c>
      <c r="CW16" s="81">
        <f t="shared" si="7"/>
        <v>199815</v>
      </c>
      <c r="CX16" s="81">
        <f t="shared" si="7"/>
        <v>1873</v>
      </c>
      <c r="CY16" s="81">
        <f t="shared" si="7"/>
        <v>1869</v>
      </c>
      <c r="CZ16" s="81">
        <f t="shared" si="7"/>
        <v>195962</v>
      </c>
      <c r="DA16" s="359">
        <f>SUM(DA4:DA15)</f>
        <v>2200</v>
      </c>
      <c r="DB16" s="360">
        <f>SUM(DB4:DB15)</f>
        <v>247339</v>
      </c>
    </row>
    <row r="17" spans="4:87">
      <c r="BX17" s="184"/>
    </row>
    <row r="18" spans="4:87">
      <c r="BD18" s="156" t="s">
        <v>119</v>
      </c>
      <c r="BM18">
        <f>BO16/BN16</f>
        <v>1.4983842673806667</v>
      </c>
      <c r="CI18" t="s">
        <v>149</v>
      </c>
    </row>
    <row r="19" spans="4:87">
      <c r="E19" s="162" t="s">
        <v>113</v>
      </c>
      <c r="F19" s="162" t="s">
        <v>104</v>
      </c>
      <c r="G19" s="162" t="s">
        <v>112</v>
      </c>
      <c r="H19" s="162">
        <v>2019</v>
      </c>
      <c r="I19" s="162">
        <v>2020</v>
      </c>
      <c r="J19" s="162">
        <v>2021</v>
      </c>
      <c r="K19" s="162" t="s">
        <v>101</v>
      </c>
      <c r="CI19" t="s">
        <v>154</v>
      </c>
    </row>
    <row r="20" spans="4:87" ht="30">
      <c r="E20" s="11" t="str">
        <f>B1</f>
        <v>elektroměr - ŠJ</v>
      </c>
      <c r="F20" s="161" t="s">
        <v>105</v>
      </c>
      <c r="G20" s="10" t="s">
        <v>100</v>
      </c>
      <c r="H20">
        <f>C16/1000</f>
        <v>11.173</v>
      </c>
      <c r="I20">
        <f>F16/1000</f>
        <v>9.92</v>
      </c>
      <c r="J20" s="198">
        <f>I16</f>
        <v>8431</v>
      </c>
      <c r="K20" t="s">
        <v>103</v>
      </c>
    </row>
    <row r="21" spans="4:87" ht="30">
      <c r="E21" s="11" t="str">
        <f>M1</f>
        <v>elektroměr - motory</v>
      </c>
      <c r="F21" s="161" t="s">
        <v>106</v>
      </c>
      <c r="G21" s="10" t="s">
        <v>100</v>
      </c>
      <c r="H21">
        <f>N16/1000</f>
        <v>66.625</v>
      </c>
      <c r="I21">
        <f>Q16/1000</f>
        <v>59.625999999999998</v>
      </c>
      <c r="K21" t="s">
        <v>102</v>
      </c>
    </row>
    <row r="22" spans="4:87" ht="30">
      <c r="E22" s="11" t="str">
        <f>X1</f>
        <v>elektroměr - Voj. 178/12</v>
      </c>
      <c r="F22" s="161" t="s">
        <v>107</v>
      </c>
      <c r="G22" s="10" t="s">
        <v>100</v>
      </c>
      <c r="H22">
        <f>Y16/1000</f>
        <v>0.1181</v>
      </c>
      <c r="I22">
        <f>AB16/1000</f>
        <v>0.1128</v>
      </c>
      <c r="K22" s="156" t="s">
        <v>116</v>
      </c>
    </row>
    <row r="23" spans="4:87" ht="30">
      <c r="E23" s="11" t="str">
        <f>AI1</f>
        <v>elektroměr - ZŠ</v>
      </c>
      <c r="F23" s="161" t="s">
        <v>108</v>
      </c>
      <c r="G23" s="10" t="s">
        <v>100</v>
      </c>
      <c r="H23">
        <f>AM16/1000</f>
        <v>61.765999999999998</v>
      </c>
      <c r="I23">
        <f>AM16/1000</f>
        <v>61.765999999999998</v>
      </c>
      <c r="J23" s="159">
        <f>AP16</f>
        <v>54123</v>
      </c>
      <c r="K23" t="s">
        <v>117</v>
      </c>
    </row>
    <row r="24" spans="4:87">
      <c r="E24" s="160" t="str">
        <f>AT1</f>
        <v>měřič tepla - MŠ</v>
      </c>
      <c r="F24" s="161" t="s">
        <v>118</v>
      </c>
      <c r="G24" s="10" t="s">
        <v>100</v>
      </c>
      <c r="H24">
        <f>AT16/1000</f>
        <v>881.91182400000002</v>
      </c>
      <c r="I24">
        <f>AV16/1000</f>
        <v>807.94897969199997</v>
      </c>
      <c r="J24">
        <f>AX16/1000</f>
        <v>860.32291048000013</v>
      </c>
      <c r="K24" t="s">
        <v>109</v>
      </c>
    </row>
    <row r="25" spans="4:87">
      <c r="E25" s="11" t="str">
        <f>BB1</f>
        <v>plynoměr - pav. B</v>
      </c>
      <c r="F25" s="161" t="s">
        <v>118</v>
      </c>
      <c r="G25" s="10" t="s">
        <v>100</v>
      </c>
      <c r="H25" s="160" t="s">
        <v>120</v>
      </c>
      <c r="I25" s="160" t="s">
        <v>120</v>
      </c>
      <c r="K25" t="s">
        <v>115</v>
      </c>
    </row>
    <row r="26" spans="4:87">
      <c r="E26" s="11" t="str">
        <f>BM1</f>
        <v>plynoměr - ŠJ</v>
      </c>
      <c r="F26" s="161" t="s">
        <v>118</v>
      </c>
      <c r="G26" s="10" t="s">
        <v>100</v>
      </c>
      <c r="H26" s="160" t="s">
        <v>120</v>
      </c>
      <c r="I26" s="160" t="s">
        <v>120</v>
      </c>
      <c r="K26" t="s">
        <v>114</v>
      </c>
    </row>
    <row r="27" spans="4:87">
      <c r="E27" s="11" t="str">
        <f>BX1</f>
        <v>plynoměr - Voj. 178/12</v>
      </c>
      <c r="F27" s="161" t="s">
        <v>118</v>
      </c>
      <c r="G27" s="10" t="s">
        <v>100</v>
      </c>
      <c r="H27" s="160" t="s">
        <v>120</v>
      </c>
      <c r="I27" s="160" t="s">
        <v>120</v>
      </c>
      <c r="K27" s="156" t="s">
        <v>116</v>
      </c>
    </row>
    <row r="28" spans="4:87">
      <c r="D28" s="163"/>
      <c r="E28" s="164" t="str">
        <f>CI1</f>
        <v>plynoměr - ZŠ TERMO</v>
      </c>
      <c r="F28" s="165" t="s">
        <v>118</v>
      </c>
      <c r="G28" s="166" t="s">
        <v>100</v>
      </c>
      <c r="H28" s="167">
        <f>CI16/1000</f>
        <v>974.34699999999998</v>
      </c>
      <c r="I28" s="167">
        <f>CL16/1000</f>
        <v>860.86099999999999</v>
      </c>
      <c r="J28" s="167">
        <f>CO16/1000</f>
        <v>940.94200000000001</v>
      </c>
      <c r="K28" s="167" t="s">
        <v>110</v>
      </c>
      <c r="L28" s="168"/>
    </row>
    <row r="29" spans="4:87">
      <c r="E29" s="11" t="str">
        <f>CR1</f>
        <v>vodoměr - Voj. 178/12</v>
      </c>
      <c r="F29" s="161" t="s">
        <v>118</v>
      </c>
      <c r="G29" s="10" t="s">
        <v>6</v>
      </c>
      <c r="H29" s="91">
        <f>CS16</f>
        <v>2926</v>
      </c>
      <c r="I29" s="91">
        <f>CV16</f>
        <v>1991</v>
      </c>
      <c r="J29" s="91">
        <f>CY16</f>
        <v>1869</v>
      </c>
      <c r="K29" t="s">
        <v>111</v>
      </c>
    </row>
  </sheetData>
  <mergeCells count="136">
    <mergeCell ref="C4:C15"/>
    <mergeCell ref="D4:D15"/>
    <mergeCell ref="L13:L15"/>
    <mergeCell ref="CG4:CG8"/>
    <mergeCell ref="U4:U13"/>
    <mergeCell ref="V13:V15"/>
    <mergeCell ref="W13:W15"/>
    <mergeCell ref="V4:V12"/>
    <mergeCell ref="AF4:AF12"/>
    <mergeCell ref="AE4:AE12"/>
    <mergeCell ref="AC4:AC12"/>
    <mergeCell ref="AB4:AB12"/>
    <mergeCell ref="T14:T15"/>
    <mergeCell ref="U14:U15"/>
    <mergeCell ref="AP13:AP15"/>
    <mergeCell ref="AQ13:AQ15"/>
    <mergeCell ref="AJ13:AJ15"/>
    <mergeCell ref="AK13:AK15"/>
    <mergeCell ref="BK8:BK15"/>
    <mergeCell ref="BL8:BL15"/>
    <mergeCell ref="BI9:BI15"/>
    <mergeCell ref="CB8:CB15"/>
    <mergeCell ref="BJ9:BJ15"/>
    <mergeCell ref="BK4:BK7"/>
    <mergeCell ref="CF4:CF8"/>
    <mergeCell ref="CE9:CE15"/>
    <mergeCell ref="CF9:CF15"/>
    <mergeCell ref="AR13:AR15"/>
    <mergeCell ref="AS13:AS15"/>
    <mergeCell ref="AR4:AR12"/>
    <mergeCell ref="AS4:AS12"/>
    <mergeCell ref="AZ4:AZ15"/>
    <mergeCell ref="BC4:BC9"/>
    <mergeCell ref="BF8:BF15"/>
    <mergeCell ref="BY4:BY8"/>
    <mergeCell ref="BG8:BG15"/>
    <mergeCell ref="BJ4:BJ8"/>
    <mergeCell ref="BI4:BI8"/>
    <mergeCell ref="BR9:BR15"/>
    <mergeCell ref="BQ9:BQ15"/>
    <mergeCell ref="BW4:BW8"/>
    <mergeCell ref="BZ4:BZ8"/>
    <mergeCell ref="BV4:BV8"/>
    <mergeCell ref="BY9:BY15"/>
    <mergeCell ref="BZ9:BZ15"/>
    <mergeCell ref="DA2:DB2"/>
    <mergeCell ref="CG2:CH2"/>
    <mergeCell ref="CR1:DB1"/>
    <mergeCell ref="BX1:CH1"/>
    <mergeCell ref="BV2:BW2"/>
    <mergeCell ref="BM1:BW1"/>
    <mergeCell ref="CI1:CQ1"/>
    <mergeCell ref="BX2:BZ2"/>
    <mergeCell ref="CA2:CC2"/>
    <mergeCell ref="CD2:CF2"/>
    <mergeCell ref="CR2:CT2"/>
    <mergeCell ref="CI2:CK2"/>
    <mergeCell ref="CL2:CN2"/>
    <mergeCell ref="CU2:CW2"/>
    <mergeCell ref="CX2:CZ2"/>
    <mergeCell ref="CO2:CQ2"/>
    <mergeCell ref="BB1:BL1"/>
    <mergeCell ref="CC8:CC15"/>
    <mergeCell ref="BV9:BV15"/>
    <mergeCell ref="BW9:BW15"/>
    <mergeCell ref="F13:F15"/>
    <mergeCell ref="G13:G15"/>
    <mergeCell ref="T4:T13"/>
    <mergeCell ref="Q13:Q15"/>
    <mergeCell ref="R13:R15"/>
    <mergeCell ref="R4:R12"/>
    <mergeCell ref="Q4:Q12"/>
    <mergeCell ref="J4:J13"/>
    <mergeCell ref="I4:I13"/>
    <mergeCell ref="I14:I15"/>
    <mergeCell ref="J14:J15"/>
    <mergeCell ref="O13:O15"/>
    <mergeCell ref="N13:N15"/>
    <mergeCell ref="K4:K12"/>
    <mergeCell ref="L4:L12"/>
    <mergeCell ref="K13:K15"/>
    <mergeCell ref="AZ2:BA2"/>
    <mergeCell ref="AT1:BA1"/>
    <mergeCell ref="AR2:AS2"/>
    <mergeCell ref="AI1:AS1"/>
    <mergeCell ref="X1:AH1"/>
    <mergeCell ref="AX2:AY2"/>
    <mergeCell ref="AA13:AA15"/>
    <mergeCell ref="AM14:AM15"/>
    <mergeCell ref="AN14:AN15"/>
    <mergeCell ref="X13:X15"/>
    <mergeCell ref="AO2:AQ2"/>
    <mergeCell ref="AT2:AU2"/>
    <mergeCell ref="AV2:AW2"/>
    <mergeCell ref="AD2:AF2"/>
    <mergeCell ref="AI2:AK2"/>
    <mergeCell ref="AL2:AN2"/>
    <mergeCell ref="Y13:Y15"/>
    <mergeCell ref="Z13:Z15"/>
    <mergeCell ref="AA4:AA12"/>
    <mergeCell ref="AA2:AC2"/>
    <mergeCell ref="A1:A3"/>
    <mergeCell ref="B2:D2"/>
    <mergeCell ref="E2:G2"/>
    <mergeCell ref="H2:J2"/>
    <mergeCell ref="M2:O2"/>
    <mergeCell ref="P2:R2"/>
    <mergeCell ref="M1:U1"/>
    <mergeCell ref="V2:W2"/>
    <mergeCell ref="K2:L2"/>
    <mergeCell ref="B1:L1"/>
    <mergeCell ref="S2:U2"/>
    <mergeCell ref="CG9:CG15"/>
    <mergeCell ref="CH9:CH15"/>
    <mergeCell ref="W4:W12"/>
    <mergeCell ref="BB2:BD2"/>
    <mergeCell ref="BE2:BG2"/>
    <mergeCell ref="BH2:BJ2"/>
    <mergeCell ref="BM2:BO2"/>
    <mergeCell ref="BP2:BR2"/>
    <mergeCell ref="BS2:BU2"/>
    <mergeCell ref="BK2:BL2"/>
    <mergeCell ref="AQ4:AQ12"/>
    <mergeCell ref="AP4:AP12"/>
    <mergeCell ref="AN4:AN13"/>
    <mergeCell ref="AM4:AM13"/>
    <mergeCell ref="AB13:AB15"/>
    <mergeCell ref="AC13:AC15"/>
    <mergeCell ref="AG13:AG15"/>
    <mergeCell ref="AH13:AH15"/>
    <mergeCell ref="X2:Z2"/>
    <mergeCell ref="AG2:AH2"/>
    <mergeCell ref="BL4:BL7"/>
    <mergeCell ref="CH4:CH8"/>
    <mergeCell ref="BA4:BA15"/>
    <mergeCell ref="CE4:CE8"/>
  </mergeCell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M25"/>
  <sheetViews>
    <sheetView zoomScale="85" zoomScaleNormal="85" workbookViewId="0">
      <pane xSplit="1" topLeftCell="B1" activePane="topRight" state="frozen"/>
      <selection pane="topRight" activeCell="BM14" sqref="BM14"/>
    </sheetView>
  </sheetViews>
  <sheetFormatPr defaultColWidth="8.85546875" defaultRowHeight="15"/>
  <cols>
    <col min="9" max="9" width="9" bestFit="1" customWidth="1"/>
    <col min="10" max="10" width="9.7109375" bestFit="1" customWidth="1"/>
    <col min="12" max="12" width="9.7109375" bestFit="1" customWidth="1"/>
    <col min="13" max="19" width="9.140625" customWidth="1"/>
    <col min="24" max="30" width="9.140625" customWidth="1"/>
    <col min="35" max="53" width="9.140625" customWidth="1"/>
    <col min="56" max="56" width="10.28515625" bestFit="1" customWidth="1"/>
    <col min="59" max="59" width="10.28515625" bestFit="1" customWidth="1"/>
    <col min="62" max="62" width="10.28515625" bestFit="1" customWidth="1"/>
    <col min="64" max="64" width="10.28515625" bestFit="1" customWidth="1"/>
  </cols>
  <sheetData>
    <row r="1" spans="1:65">
      <c r="A1" s="1255"/>
      <c r="B1" s="1261" t="s">
        <v>73</v>
      </c>
      <c r="C1" s="1262"/>
      <c r="D1" s="1262"/>
      <c r="E1" s="1262"/>
      <c r="F1" s="1262"/>
      <c r="G1" s="1262"/>
      <c r="H1" s="1262"/>
      <c r="I1" s="1262"/>
      <c r="J1" s="1262"/>
      <c r="K1" s="1263"/>
      <c r="L1" s="1264"/>
      <c r="M1" s="1261" t="s">
        <v>74</v>
      </c>
      <c r="N1" s="1262"/>
      <c r="O1" s="1262"/>
      <c r="P1" s="1262"/>
      <c r="Q1" s="1262"/>
      <c r="R1" s="1262"/>
      <c r="S1" s="1262"/>
      <c r="T1" s="1262"/>
      <c r="U1" s="1262"/>
      <c r="V1" s="1263"/>
      <c r="W1" s="1264"/>
      <c r="X1" s="1261" t="s">
        <v>75</v>
      </c>
      <c r="Y1" s="1262"/>
      <c r="Z1" s="1262"/>
      <c r="AA1" s="1262"/>
      <c r="AB1" s="1262"/>
      <c r="AC1" s="1262"/>
      <c r="AD1" s="1262"/>
      <c r="AE1" s="1262"/>
      <c r="AF1" s="1262"/>
      <c r="AG1" s="1263"/>
      <c r="AH1" s="1264"/>
      <c r="AI1" s="1295" t="s">
        <v>58</v>
      </c>
      <c r="AJ1" s="1296"/>
      <c r="AK1" s="1296"/>
      <c r="AL1" s="1296"/>
      <c r="AM1" s="1296"/>
      <c r="AN1" s="1296"/>
      <c r="AO1" s="1297"/>
      <c r="AP1" s="1298"/>
      <c r="AQ1" s="1295" t="s">
        <v>57</v>
      </c>
      <c r="AR1" s="1296"/>
      <c r="AS1" s="1296"/>
      <c r="AT1" s="1296"/>
      <c r="AU1" s="1296"/>
      <c r="AV1" s="1296"/>
      <c r="AW1" s="1296"/>
      <c r="AX1" s="1296"/>
      <c r="AY1" s="1296"/>
      <c r="AZ1" s="1297"/>
      <c r="BA1" s="1298"/>
      <c r="BB1" s="1582" t="s">
        <v>56</v>
      </c>
      <c r="BC1" s="1583"/>
      <c r="BD1" s="1583"/>
      <c r="BE1" s="1583"/>
      <c r="BF1" s="1583"/>
      <c r="BG1" s="1583"/>
      <c r="BH1" s="1583"/>
      <c r="BI1" s="1583"/>
      <c r="BJ1" s="1583"/>
      <c r="BK1" s="1584"/>
      <c r="BL1" s="1584"/>
    </row>
    <row r="2" spans="1:65">
      <c r="A2" s="1255"/>
      <c r="B2" s="1319">
        <v>2019</v>
      </c>
      <c r="C2" s="1320"/>
      <c r="D2" s="1320"/>
      <c r="E2" s="1319">
        <v>2020</v>
      </c>
      <c r="F2" s="1320"/>
      <c r="G2" s="1321"/>
      <c r="H2" s="1322">
        <v>2021</v>
      </c>
      <c r="I2" s="1320"/>
      <c r="J2" s="1321"/>
      <c r="K2" s="1319">
        <v>2022</v>
      </c>
      <c r="L2" s="1272"/>
      <c r="M2" s="1319">
        <v>2019</v>
      </c>
      <c r="N2" s="1320"/>
      <c r="O2" s="1320"/>
      <c r="P2" s="1319">
        <v>2020</v>
      </c>
      <c r="Q2" s="1320"/>
      <c r="R2" s="1321"/>
      <c r="S2" s="1322">
        <v>2021</v>
      </c>
      <c r="T2" s="1320"/>
      <c r="U2" s="1320"/>
      <c r="V2" s="1319">
        <v>2022</v>
      </c>
      <c r="W2" s="1272"/>
      <c r="X2" s="1319">
        <v>2019</v>
      </c>
      <c r="Y2" s="1320"/>
      <c r="Z2" s="1320"/>
      <c r="AA2" s="1319">
        <v>2020</v>
      </c>
      <c r="AB2" s="1320"/>
      <c r="AC2" s="1321"/>
      <c r="AD2" s="1322">
        <v>2021</v>
      </c>
      <c r="AE2" s="1320"/>
      <c r="AF2" s="1320"/>
      <c r="AG2" s="1319">
        <v>2022</v>
      </c>
      <c r="AH2" s="1272"/>
      <c r="AI2" s="1585">
        <v>2019</v>
      </c>
      <c r="AJ2" s="1588"/>
      <c r="AK2" s="1585">
        <v>2020</v>
      </c>
      <c r="AL2" s="1586"/>
      <c r="AM2" s="1587">
        <v>2021</v>
      </c>
      <c r="AN2" s="1586"/>
      <c r="AO2" s="1585">
        <v>2022</v>
      </c>
      <c r="AP2" s="1272"/>
      <c r="AQ2" s="1348">
        <v>2019</v>
      </c>
      <c r="AR2" s="1349"/>
      <c r="AS2" s="1349"/>
      <c r="AT2" s="1348">
        <v>2020</v>
      </c>
      <c r="AU2" s="1349"/>
      <c r="AV2" s="1350"/>
      <c r="AW2" s="1351">
        <v>2021</v>
      </c>
      <c r="AX2" s="1351"/>
      <c r="AY2" s="1352"/>
      <c r="AZ2" s="1348">
        <v>2022</v>
      </c>
      <c r="BA2" s="1353"/>
      <c r="BB2" s="1252">
        <v>2019</v>
      </c>
      <c r="BC2" s="1253"/>
      <c r="BD2" s="1253"/>
      <c r="BE2" s="1252">
        <v>2020</v>
      </c>
      <c r="BF2" s="1253"/>
      <c r="BG2" s="1254"/>
      <c r="BH2" s="1252">
        <v>2021</v>
      </c>
      <c r="BI2" s="1253"/>
      <c r="BJ2" s="1253"/>
      <c r="BK2" s="1269">
        <v>2022</v>
      </c>
      <c r="BL2" s="1270"/>
    </row>
    <row r="3" spans="1:65" ht="30">
      <c r="A3" s="1255"/>
      <c r="B3" s="1" t="s">
        <v>1</v>
      </c>
      <c r="C3" s="2" t="s">
        <v>2</v>
      </c>
      <c r="D3" s="2" t="s">
        <v>3</v>
      </c>
      <c r="E3" s="1" t="s">
        <v>1</v>
      </c>
      <c r="F3" s="2" t="s">
        <v>2</v>
      </c>
      <c r="G3" s="3" t="s">
        <v>3</v>
      </c>
      <c r="H3" s="2" t="s">
        <v>67</v>
      </c>
      <c r="I3" s="2" t="s">
        <v>2</v>
      </c>
      <c r="J3" s="3" t="s">
        <v>3</v>
      </c>
      <c r="K3" s="2"/>
      <c r="L3" s="2"/>
      <c r="M3" s="1" t="s">
        <v>1</v>
      </c>
      <c r="N3" s="2" t="s">
        <v>2</v>
      </c>
      <c r="O3" s="2" t="s">
        <v>3</v>
      </c>
      <c r="P3" s="1" t="s">
        <v>1</v>
      </c>
      <c r="Q3" s="2" t="s">
        <v>2</v>
      </c>
      <c r="R3" s="3" t="s">
        <v>3</v>
      </c>
      <c r="S3" s="2" t="s">
        <v>54</v>
      </c>
      <c r="T3" s="2" t="s">
        <v>2</v>
      </c>
      <c r="U3" s="2" t="s">
        <v>3</v>
      </c>
      <c r="V3" s="1" t="s">
        <v>1</v>
      </c>
      <c r="W3" s="3" t="s">
        <v>3</v>
      </c>
      <c r="X3" s="1" t="s">
        <v>1</v>
      </c>
      <c r="Y3" s="2" t="s">
        <v>2</v>
      </c>
      <c r="Z3" s="2" t="s">
        <v>3</v>
      </c>
      <c r="AA3" s="1" t="s">
        <v>1</v>
      </c>
      <c r="AB3" s="2" t="s">
        <v>2</v>
      </c>
      <c r="AC3" s="3" t="s">
        <v>3</v>
      </c>
      <c r="AD3" s="2" t="s">
        <v>54</v>
      </c>
      <c r="AE3" s="2" t="s">
        <v>2</v>
      </c>
      <c r="AF3" s="2" t="s">
        <v>3</v>
      </c>
      <c r="AG3" s="1" t="s">
        <v>1</v>
      </c>
      <c r="AH3" s="3" t="s">
        <v>3</v>
      </c>
      <c r="AI3" s="1" t="s">
        <v>2</v>
      </c>
      <c r="AJ3" s="2" t="s">
        <v>3</v>
      </c>
      <c r="AK3" s="1" t="s">
        <v>2</v>
      </c>
      <c r="AL3" s="3" t="s">
        <v>3</v>
      </c>
      <c r="AM3" s="2" t="s">
        <v>2</v>
      </c>
      <c r="AN3" s="3" t="s">
        <v>3</v>
      </c>
      <c r="AO3" s="60" t="s">
        <v>1</v>
      </c>
      <c r="AP3" s="60" t="s">
        <v>3</v>
      </c>
      <c r="AQ3" s="86" t="s">
        <v>1</v>
      </c>
      <c r="AR3" s="60" t="s">
        <v>2</v>
      </c>
      <c r="AS3" s="60" t="s">
        <v>3</v>
      </c>
      <c r="AT3" s="86" t="s">
        <v>1</v>
      </c>
      <c r="AU3" s="60" t="s">
        <v>2</v>
      </c>
      <c r="AV3" s="87" t="s">
        <v>3</v>
      </c>
      <c r="AW3" s="60" t="s">
        <v>67</v>
      </c>
      <c r="AX3" s="60" t="s">
        <v>2</v>
      </c>
      <c r="AY3" s="87" t="s">
        <v>3</v>
      </c>
      <c r="AZ3" s="60" t="s">
        <v>1</v>
      </c>
      <c r="BA3" s="60" t="s">
        <v>3</v>
      </c>
      <c r="BB3" s="4" t="s">
        <v>6</v>
      </c>
      <c r="BC3" s="5" t="s">
        <v>7</v>
      </c>
      <c r="BD3" s="5" t="s">
        <v>3</v>
      </c>
      <c r="BE3" s="4" t="s">
        <v>6</v>
      </c>
      <c r="BF3" s="5" t="s">
        <v>7</v>
      </c>
      <c r="BG3" s="6" t="s">
        <v>3</v>
      </c>
      <c r="BH3" s="4" t="s">
        <v>6</v>
      </c>
      <c r="BI3" s="5" t="s">
        <v>7</v>
      </c>
      <c r="BJ3" s="5" t="s">
        <v>3</v>
      </c>
      <c r="BK3" s="367" t="s">
        <v>1</v>
      </c>
      <c r="BL3" s="368" t="s">
        <v>3</v>
      </c>
    </row>
    <row r="4" spans="1:65">
      <c r="A4" s="17" t="s">
        <v>35</v>
      </c>
      <c r="B4" s="35">
        <v>2414</v>
      </c>
      <c r="C4" s="1576">
        <f>18945.95</f>
        <v>18945.95</v>
      </c>
      <c r="D4" s="1574">
        <f>(16940.85+42455.41+9380+5069.46+1443.76+71.84+536.27)*A17</f>
        <v>91836.083900000012</v>
      </c>
      <c r="E4" s="35">
        <v>2168</v>
      </c>
      <c r="F4" s="1576">
        <f>16402.6</f>
        <v>16402.599999999999</v>
      </c>
      <c r="G4" s="1574">
        <f>(14663.92+37271.27+8119.29+5191.2+1264.97+52.32+464.19)*A17</f>
        <v>81102.863599999997</v>
      </c>
      <c r="H4" s="34">
        <v>1702</v>
      </c>
      <c r="I4" s="1493">
        <v>15199</v>
      </c>
      <c r="J4" s="1464">
        <f>(38281.83+8982.11+21932.16+430.14)*A17</f>
        <v>84247.750400000004</v>
      </c>
      <c r="K4" s="1463">
        <v>17084</v>
      </c>
      <c r="L4" s="1464">
        <v>78828.45</v>
      </c>
      <c r="M4" s="48">
        <v>1731</v>
      </c>
      <c r="N4" s="1482">
        <f>12312</f>
        <v>12312</v>
      </c>
      <c r="O4" s="1571">
        <f>(11006.93+27584.42+6094.44+5069.46+938.05+71.84+348.43)*A17</f>
        <v>61847.419699999999</v>
      </c>
      <c r="P4" s="47">
        <v>1464</v>
      </c>
      <c r="Q4" s="1573">
        <f>10049</f>
        <v>10049</v>
      </c>
      <c r="R4" s="1460">
        <f>(8983.81+22803.49+4974.26+5191.2+774.98+52.32+284.39)*A17</f>
        <v>52107.984500000006</v>
      </c>
      <c r="S4" s="48">
        <v>1293</v>
      </c>
      <c r="T4" s="1493">
        <v>11065</v>
      </c>
      <c r="U4" s="1493">
        <f>(29434.45+6550.07+15966.8+313.14)*A17</f>
        <v>63239.996600000006</v>
      </c>
      <c r="V4" s="1288">
        <v>10708</v>
      </c>
      <c r="W4" s="1286">
        <v>52196.800000000003</v>
      </c>
      <c r="X4" s="68">
        <v>3.2</v>
      </c>
      <c r="Y4" s="1573">
        <v>55</v>
      </c>
      <c r="Z4" s="1460">
        <f>(49.17+313.66+69.3+1264.77+10.67+71.84+1.56)*A17</f>
        <v>2154.9737</v>
      </c>
      <c r="AA4" s="61">
        <v>39</v>
      </c>
      <c r="AB4" s="1573">
        <f>0.212*1000</f>
        <v>212</v>
      </c>
      <c r="AC4" s="1460">
        <f>(481.08+104.81+1297.8+16.35+52.32+6)*A17</f>
        <v>2369.6155999999996</v>
      </c>
      <c r="AD4" s="62">
        <v>0.86</v>
      </c>
      <c r="AE4" s="1573">
        <f>0.015*1000</f>
        <v>15</v>
      </c>
      <c r="AF4" s="1573">
        <f>(1473.11+49.36+21.65+0.43)*A17</f>
        <v>1868.9054999999998</v>
      </c>
      <c r="AG4" s="1288">
        <v>7</v>
      </c>
      <c r="AH4" s="1286">
        <v>1891.27</v>
      </c>
      <c r="AI4" s="1419">
        <f>(1235.4*277.8)</f>
        <v>343194.12000000005</v>
      </c>
      <c r="AJ4" s="1460">
        <f>(681344.79+102119.94)</f>
        <v>783464.73</v>
      </c>
      <c r="AK4" s="1419">
        <f>1205.2*A18</f>
        <v>334780.45600000001</v>
      </c>
      <c r="AL4" s="1460">
        <f>(655736.98+74138.16)</f>
        <v>729875.14</v>
      </c>
      <c r="AM4" s="1419">
        <f>1331.292*A18</f>
        <v>369806.29175999993</v>
      </c>
      <c r="AN4" s="1460">
        <f>(717016.91+69816.6)</f>
        <v>786833.51</v>
      </c>
      <c r="AO4" s="1419">
        <v>332778</v>
      </c>
      <c r="AP4" s="1460">
        <v>1196203</v>
      </c>
      <c r="AQ4" s="47">
        <v>1862</v>
      </c>
      <c r="AR4" s="1573">
        <v>8485.82</v>
      </c>
      <c r="AS4" s="1460">
        <v>13224.08</v>
      </c>
      <c r="AT4" s="47">
        <v>1797</v>
      </c>
      <c r="AU4" s="1573">
        <v>8111</v>
      </c>
      <c r="AV4" s="1460">
        <v>9280</v>
      </c>
      <c r="AW4" s="48">
        <v>1698</v>
      </c>
      <c r="AX4" s="1284">
        <v>8828.65</v>
      </c>
      <c r="AY4" s="1286">
        <v>8520.0959999999995</v>
      </c>
      <c r="AZ4" s="1288">
        <v>8582.7900000000009</v>
      </c>
      <c r="BA4" s="1286">
        <v>8402.2160000000003</v>
      </c>
      <c r="BB4" s="42"/>
      <c r="BC4" s="1562">
        <v>1301</v>
      </c>
      <c r="BD4" s="1247">
        <v>129521.7</v>
      </c>
      <c r="BE4" s="42"/>
      <c r="BF4" s="1562">
        <f>408+522</f>
        <v>930</v>
      </c>
      <c r="BG4" s="1247">
        <v>93812.093999999997</v>
      </c>
      <c r="BH4" s="42"/>
      <c r="BI4" s="1562">
        <v>924</v>
      </c>
      <c r="BJ4" s="1247">
        <v>96801.94</v>
      </c>
      <c r="BK4" s="1559">
        <v>985</v>
      </c>
      <c r="BL4" s="1561">
        <v>110766.2</v>
      </c>
    </row>
    <row r="5" spans="1:65">
      <c r="A5" s="18" t="s">
        <v>36</v>
      </c>
      <c r="B5" s="37">
        <v>1967</v>
      </c>
      <c r="C5" s="1577"/>
      <c r="D5" s="1575"/>
      <c r="E5" s="37">
        <v>1967</v>
      </c>
      <c r="F5" s="1577"/>
      <c r="G5" s="1575"/>
      <c r="H5" s="33">
        <v>1686</v>
      </c>
      <c r="I5" s="1494"/>
      <c r="J5" s="1524"/>
      <c r="K5" s="1355"/>
      <c r="L5" s="1358"/>
      <c r="M5" s="51">
        <v>1321</v>
      </c>
      <c r="N5" s="1495"/>
      <c r="O5" s="1572"/>
      <c r="P5" s="50">
        <v>1331</v>
      </c>
      <c r="Q5" s="1556"/>
      <c r="R5" s="1461"/>
      <c r="S5" s="51">
        <v>1267</v>
      </c>
      <c r="T5" s="1494"/>
      <c r="U5" s="1494"/>
      <c r="V5" s="1465"/>
      <c r="W5" s="1389"/>
      <c r="X5" s="71">
        <v>1.1000000000000001</v>
      </c>
      <c r="Y5" s="1556"/>
      <c r="Z5" s="1461"/>
      <c r="AA5" s="32">
        <v>32</v>
      </c>
      <c r="AB5" s="1556"/>
      <c r="AC5" s="1461"/>
      <c r="AD5" s="31">
        <v>0.93</v>
      </c>
      <c r="AE5" s="1556"/>
      <c r="AF5" s="1556"/>
      <c r="AG5" s="1465"/>
      <c r="AH5" s="1389"/>
      <c r="AI5" s="1420"/>
      <c r="AJ5" s="1461"/>
      <c r="AK5" s="1420"/>
      <c r="AL5" s="1461"/>
      <c r="AM5" s="1420"/>
      <c r="AN5" s="1461"/>
      <c r="AO5" s="1289"/>
      <c r="AP5" s="1317"/>
      <c r="AQ5" s="50">
        <v>1661</v>
      </c>
      <c r="AR5" s="1556"/>
      <c r="AS5" s="1461"/>
      <c r="AT5" s="50">
        <v>1648</v>
      </c>
      <c r="AU5" s="1556"/>
      <c r="AV5" s="1461"/>
      <c r="AW5" s="51">
        <v>1643</v>
      </c>
      <c r="AX5" s="1579"/>
      <c r="AY5" s="1389"/>
      <c r="AZ5" s="1289"/>
      <c r="BA5" s="1317"/>
      <c r="BB5" s="43"/>
      <c r="BC5" s="1568"/>
      <c r="BD5" s="1389"/>
      <c r="BE5" s="43"/>
      <c r="BF5" s="1563"/>
      <c r="BG5" s="1534"/>
      <c r="BH5" s="43"/>
      <c r="BI5" s="1563"/>
      <c r="BJ5" s="1534"/>
      <c r="BK5" s="1560"/>
      <c r="BL5" s="1389"/>
    </row>
    <row r="6" spans="1:65">
      <c r="A6" s="18" t="s">
        <v>37</v>
      </c>
      <c r="B6" s="37">
        <v>2231</v>
      </c>
      <c r="C6" s="1577"/>
      <c r="D6" s="1575"/>
      <c r="E6" s="37">
        <v>1348</v>
      </c>
      <c r="F6" s="1577"/>
      <c r="G6" s="1575"/>
      <c r="H6" s="33">
        <v>925</v>
      </c>
      <c r="I6" s="1494"/>
      <c r="J6" s="1524"/>
      <c r="K6" s="1355"/>
      <c r="L6" s="1358"/>
      <c r="M6" s="51">
        <v>1483</v>
      </c>
      <c r="N6" s="1495"/>
      <c r="O6" s="1572"/>
      <c r="P6" s="50">
        <v>727</v>
      </c>
      <c r="Q6" s="1556"/>
      <c r="R6" s="1461"/>
      <c r="S6" s="51">
        <v>534</v>
      </c>
      <c r="T6" s="1494"/>
      <c r="U6" s="1494"/>
      <c r="V6" s="1465"/>
      <c r="W6" s="1389"/>
      <c r="X6" s="71">
        <v>1.07</v>
      </c>
      <c r="Y6" s="1556"/>
      <c r="Z6" s="1461"/>
      <c r="AA6" s="32">
        <v>22</v>
      </c>
      <c r="AB6" s="1556"/>
      <c r="AC6" s="1461"/>
      <c r="AD6" s="31">
        <v>0.12</v>
      </c>
      <c r="AE6" s="1556"/>
      <c r="AF6" s="1556"/>
      <c r="AG6" s="1465"/>
      <c r="AH6" s="1389"/>
      <c r="AI6" s="1420"/>
      <c r="AJ6" s="1461"/>
      <c r="AK6" s="1420"/>
      <c r="AL6" s="1461"/>
      <c r="AM6" s="1420"/>
      <c r="AN6" s="1461"/>
      <c r="AO6" s="1289"/>
      <c r="AP6" s="1317"/>
      <c r="AQ6" s="50">
        <v>1915</v>
      </c>
      <c r="AR6" s="1556"/>
      <c r="AS6" s="1461"/>
      <c r="AT6" s="50">
        <v>1293</v>
      </c>
      <c r="AU6" s="1556"/>
      <c r="AV6" s="1461"/>
      <c r="AW6" s="51">
        <v>1606</v>
      </c>
      <c r="AX6" s="1579"/>
      <c r="AY6" s="1389"/>
      <c r="AZ6" s="1289"/>
      <c r="BA6" s="1317"/>
      <c r="BB6" s="43"/>
      <c r="BC6" s="1568"/>
      <c r="BD6" s="1389"/>
      <c r="BE6" s="43"/>
      <c r="BF6" s="1563"/>
      <c r="BG6" s="1534"/>
      <c r="BH6" s="43"/>
      <c r="BI6" s="1563"/>
      <c r="BJ6" s="1534"/>
      <c r="BK6" s="1560"/>
      <c r="BL6" s="1389"/>
    </row>
    <row r="7" spans="1:65">
      <c r="A7" s="18" t="s">
        <v>38</v>
      </c>
      <c r="B7" s="37">
        <v>1759</v>
      </c>
      <c r="C7" s="1577"/>
      <c r="D7" s="1575"/>
      <c r="E7" s="37">
        <v>1070</v>
      </c>
      <c r="F7" s="1577"/>
      <c r="G7" s="1575"/>
      <c r="H7" s="33">
        <v>1109</v>
      </c>
      <c r="I7" s="1494"/>
      <c r="J7" s="1524"/>
      <c r="K7" s="1355"/>
      <c r="L7" s="1358"/>
      <c r="M7" s="51">
        <v>1034</v>
      </c>
      <c r="N7" s="1495"/>
      <c r="O7" s="1572"/>
      <c r="P7" s="50">
        <v>428</v>
      </c>
      <c r="Q7" s="1556"/>
      <c r="R7" s="1461"/>
      <c r="S7" s="51">
        <v>687</v>
      </c>
      <c r="T7" s="1494"/>
      <c r="U7" s="1494"/>
      <c r="V7" s="1465"/>
      <c r="W7" s="1389"/>
      <c r="X7" s="71">
        <v>0.12</v>
      </c>
      <c r="Y7" s="1556"/>
      <c r="Z7" s="1461"/>
      <c r="AA7" s="32">
        <v>22</v>
      </c>
      <c r="AB7" s="1556"/>
      <c r="AC7" s="1461"/>
      <c r="AD7" s="31">
        <v>3.9</v>
      </c>
      <c r="AE7" s="1556"/>
      <c r="AF7" s="1556"/>
      <c r="AG7" s="1465"/>
      <c r="AH7" s="1389"/>
      <c r="AI7" s="1420"/>
      <c r="AJ7" s="1461"/>
      <c r="AK7" s="1420"/>
      <c r="AL7" s="1461"/>
      <c r="AM7" s="1420"/>
      <c r="AN7" s="1461"/>
      <c r="AO7" s="1289"/>
      <c r="AP7" s="1317"/>
      <c r="AQ7" s="50">
        <v>854</v>
      </c>
      <c r="AR7" s="1556"/>
      <c r="AS7" s="1461"/>
      <c r="AT7" s="50">
        <v>916</v>
      </c>
      <c r="AU7" s="1556"/>
      <c r="AV7" s="1461"/>
      <c r="AW7" s="51">
        <v>1305</v>
      </c>
      <c r="AX7" s="1579"/>
      <c r="AY7" s="1389"/>
      <c r="AZ7" s="1289"/>
      <c r="BA7" s="1317"/>
      <c r="BB7" s="43"/>
      <c r="BC7" s="1568"/>
      <c r="BD7" s="1389"/>
      <c r="BE7" s="43"/>
      <c r="BF7" s="1563"/>
      <c r="BG7" s="1534"/>
      <c r="BH7" s="43"/>
      <c r="BI7" s="1563"/>
      <c r="BJ7" s="1534"/>
      <c r="BK7" s="1560"/>
      <c r="BL7" s="1389"/>
    </row>
    <row r="8" spans="1:65">
      <c r="A8" s="18" t="s">
        <v>39</v>
      </c>
      <c r="B8" s="37">
        <v>1892</v>
      </c>
      <c r="C8" s="1577"/>
      <c r="D8" s="1575"/>
      <c r="E8" s="37">
        <v>1322</v>
      </c>
      <c r="F8" s="1577"/>
      <c r="G8" s="1575"/>
      <c r="H8" s="33">
        <v>1759</v>
      </c>
      <c r="I8" s="1494"/>
      <c r="J8" s="1524"/>
      <c r="K8" s="1355"/>
      <c r="L8" s="1358"/>
      <c r="M8" s="51">
        <v>1164</v>
      </c>
      <c r="N8" s="1495"/>
      <c r="O8" s="1572"/>
      <c r="P8" s="50">
        <v>660</v>
      </c>
      <c r="Q8" s="1556"/>
      <c r="R8" s="1461"/>
      <c r="S8" s="51">
        <v>1249</v>
      </c>
      <c r="T8" s="1494"/>
      <c r="U8" s="1494"/>
      <c r="V8" s="1465"/>
      <c r="W8" s="1389"/>
      <c r="X8" s="71">
        <v>0.66</v>
      </c>
      <c r="Y8" s="1556"/>
      <c r="Z8" s="1461"/>
      <c r="AA8" s="32">
        <v>22</v>
      </c>
      <c r="AB8" s="1556"/>
      <c r="AC8" s="1461"/>
      <c r="AD8" s="31">
        <v>1.1000000000000001</v>
      </c>
      <c r="AE8" s="1556"/>
      <c r="AF8" s="1556"/>
      <c r="AG8" s="1465"/>
      <c r="AH8" s="1389"/>
      <c r="AI8" s="1420"/>
      <c r="AJ8" s="1461"/>
      <c r="AK8" s="1420"/>
      <c r="AL8" s="1461"/>
      <c r="AM8" s="1420"/>
      <c r="AN8" s="1461"/>
      <c r="AO8" s="1289"/>
      <c r="AP8" s="1317"/>
      <c r="AQ8" s="50">
        <v>888</v>
      </c>
      <c r="AR8" s="1556"/>
      <c r="AS8" s="1461"/>
      <c r="AT8" s="50">
        <v>577</v>
      </c>
      <c r="AU8" s="1556"/>
      <c r="AV8" s="1461"/>
      <c r="AW8" s="51">
        <v>914</v>
      </c>
      <c r="AX8" s="1579"/>
      <c r="AY8" s="1389"/>
      <c r="AZ8" s="1289"/>
      <c r="BA8" s="1317"/>
      <c r="BB8" s="43"/>
      <c r="BC8" s="1568"/>
      <c r="BD8" s="1389"/>
      <c r="BE8" s="43"/>
      <c r="BF8" s="1563"/>
      <c r="BG8" s="1534"/>
      <c r="BH8" s="43"/>
      <c r="BI8" s="1563"/>
      <c r="BJ8" s="1534"/>
      <c r="BK8" s="1560"/>
      <c r="BL8" s="1389"/>
    </row>
    <row r="9" spans="1:65" s="179" customFormat="1">
      <c r="A9" s="170" t="s">
        <v>40</v>
      </c>
      <c r="B9" s="171">
        <v>1943</v>
      </c>
      <c r="C9" s="1577"/>
      <c r="D9" s="1575"/>
      <c r="E9" s="171">
        <v>1897</v>
      </c>
      <c r="F9" s="1577"/>
      <c r="G9" s="1575"/>
      <c r="H9" s="172">
        <v>1628</v>
      </c>
      <c r="I9" s="1494"/>
      <c r="J9" s="1524"/>
      <c r="K9" s="1355"/>
      <c r="L9" s="1358"/>
      <c r="M9" s="173">
        <v>1090</v>
      </c>
      <c r="N9" s="1495"/>
      <c r="O9" s="1572"/>
      <c r="P9" s="174">
        <v>876</v>
      </c>
      <c r="Q9" s="1556"/>
      <c r="R9" s="1461"/>
      <c r="S9" s="173">
        <v>903</v>
      </c>
      <c r="T9" s="1494"/>
      <c r="U9" s="1494"/>
      <c r="V9" s="1465"/>
      <c r="W9" s="1389"/>
      <c r="X9" s="175">
        <v>14</v>
      </c>
      <c r="Y9" s="1556"/>
      <c r="Z9" s="1461"/>
      <c r="AA9" s="176">
        <v>24</v>
      </c>
      <c r="AB9" s="1556"/>
      <c r="AC9" s="1461"/>
      <c r="AD9" s="177">
        <v>0.97</v>
      </c>
      <c r="AE9" s="1556"/>
      <c r="AF9" s="1556"/>
      <c r="AG9" s="1465"/>
      <c r="AH9" s="1389"/>
      <c r="AI9" s="1420"/>
      <c r="AJ9" s="1461"/>
      <c r="AK9" s="1420"/>
      <c r="AL9" s="1461"/>
      <c r="AM9" s="1420"/>
      <c r="AN9" s="1461"/>
      <c r="AO9" s="1289"/>
      <c r="AP9" s="1317"/>
      <c r="AQ9" s="174">
        <v>9</v>
      </c>
      <c r="AR9" s="1556"/>
      <c r="AS9" s="1461"/>
      <c r="AT9" s="174">
        <v>171</v>
      </c>
      <c r="AU9" s="1556"/>
      <c r="AV9" s="1461"/>
      <c r="AW9" s="173">
        <v>72</v>
      </c>
      <c r="AX9" s="1579"/>
      <c r="AY9" s="1389"/>
      <c r="AZ9" s="1289"/>
      <c r="BA9" s="1317"/>
      <c r="BB9" s="178"/>
      <c r="BC9" s="1568"/>
      <c r="BD9" s="1389"/>
      <c r="BE9" s="178"/>
      <c r="BF9" s="1563"/>
      <c r="BG9" s="1534"/>
      <c r="BH9" s="178"/>
      <c r="BI9" s="1563"/>
      <c r="BJ9" s="1534"/>
      <c r="BK9" s="1560"/>
      <c r="BL9" s="1389"/>
    </row>
    <row r="10" spans="1:65">
      <c r="A10" s="18" t="s">
        <v>41</v>
      </c>
      <c r="B10" s="37">
        <v>1034</v>
      </c>
      <c r="C10" s="1577"/>
      <c r="D10" s="1575"/>
      <c r="E10" s="37">
        <v>562</v>
      </c>
      <c r="F10" s="1577"/>
      <c r="G10" s="1575"/>
      <c r="H10" s="33">
        <v>1201</v>
      </c>
      <c r="I10" s="1494"/>
      <c r="J10" s="1524"/>
      <c r="K10" s="1355"/>
      <c r="L10" s="1358"/>
      <c r="M10" s="51">
        <v>488</v>
      </c>
      <c r="N10" s="1495"/>
      <c r="O10" s="1572"/>
      <c r="P10" s="50">
        <v>267</v>
      </c>
      <c r="Q10" s="1556"/>
      <c r="R10" s="1461"/>
      <c r="S10" s="51">
        <v>646</v>
      </c>
      <c r="T10" s="1494"/>
      <c r="U10" s="1494"/>
      <c r="V10" s="1465"/>
      <c r="W10" s="1389"/>
      <c r="X10" s="71">
        <v>23</v>
      </c>
      <c r="Y10" s="1556"/>
      <c r="Z10" s="1461"/>
      <c r="AA10" s="32">
        <v>9.1</v>
      </c>
      <c r="AB10" s="1556"/>
      <c r="AC10" s="1461"/>
      <c r="AD10" s="31">
        <v>1.9</v>
      </c>
      <c r="AE10" s="1556"/>
      <c r="AF10" s="1556"/>
      <c r="AG10" s="1465"/>
      <c r="AH10" s="1389"/>
      <c r="AI10" s="1420"/>
      <c r="AJ10" s="1461"/>
      <c r="AK10" s="1420"/>
      <c r="AL10" s="1461"/>
      <c r="AM10" s="1420"/>
      <c r="AN10" s="1461"/>
      <c r="AO10" s="1289"/>
      <c r="AP10" s="1317"/>
      <c r="AQ10" s="50">
        <v>7.8</v>
      </c>
      <c r="AR10" s="299">
        <v>0</v>
      </c>
      <c r="AS10" s="300">
        <v>117.84</v>
      </c>
      <c r="AT10" s="50">
        <v>43</v>
      </c>
      <c r="AU10" s="1556"/>
      <c r="AV10" s="1461"/>
      <c r="AW10" s="51">
        <v>1.2</v>
      </c>
      <c r="AX10" s="1579"/>
      <c r="AY10" s="1389"/>
      <c r="AZ10" s="1289"/>
      <c r="BA10" s="1317"/>
      <c r="BB10" s="43"/>
      <c r="BC10" s="1568"/>
      <c r="BD10" s="1389"/>
      <c r="BE10" s="43"/>
      <c r="BF10" s="1563"/>
      <c r="BG10" s="1534"/>
      <c r="BH10" s="43"/>
      <c r="BI10" s="1563"/>
      <c r="BJ10" s="1534"/>
      <c r="BK10" s="1560"/>
      <c r="BL10" s="1389"/>
    </row>
    <row r="11" spans="1:65">
      <c r="A11" s="18" t="s">
        <v>42</v>
      </c>
      <c r="B11" s="37">
        <v>1062</v>
      </c>
      <c r="C11" s="1577"/>
      <c r="D11" s="1575"/>
      <c r="E11" s="37">
        <v>1136</v>
      </c>
      <c r="F11" s="1577"/>
      <c r="G11" s="1575"/>
      <c r="H11" s="33">
        <v>755</v>
      </c>
      <c r="I11" s="1494"/>
      <c r="J11" s="1524"/>
      <c r="K11" s="1355"/>
      <c r="L11" s="1358"/>
      <c r="M11" s="51">
        <v>537</v>
      </c>
      <c r="N11" s="1495"/>
      <c r="O11" s="1572"/>
      <c r="P11" s="50">
        <v>518</v>
      </c>
      <c r="Q11" s="1556"/>
      <c r="R11" s="1461"/>
      <c r="S11" s="51">
        <v>572</v>
      </c>
      <c r="T11" s="1494"/>
      <c r="U11" s="1494"/>
      <c r="V11" s="1465"/>
      <c r="W11" s="1389"/>
      <c r="X11" s="71">
        <v>22</v>
      </c>
      <c r="Y11" s="1556"/>
      <c r="Z11" s="1461"/>
      <c r="AA11" s="32">
        <v>2.2000000000000002</v>
      </c>
      <c r="AB11" s="1556"/>
      <c r="AC11" s="1461"/>
      <c r="AD11" s="31">
        <v>1.1000000000000001</v>
      </c>
      <c r="AE11" s="1556"/>
      <c r="AF11" s="1556"/>
      <c r="AG11" s="1465"/>
      <c r="AH11" s="1389"/>
      <c r="AI11" s="1420"/>
      <c r="AJ11" s="1461"/>
      <c r="AK11" s="1420"/>
      <c r="AL11" s="1461"/>
      <c r="AM11" s="1420"/>
      <c r="AN11" s="1461"/>
      <c r="AO11" s="1289"/>
      <c r="AP11" s="1317"/>
      <c r="AQ11" s="50">
        <v>25</v>
      </c>
      <c r="AR11" s="1556">
        <v>5807</v>
      </c>
      <c r="AS11" s="1461">
        <v>6489.21</v>
      </c>
      <c r="AT11" s="50">
        <v>24</v>
      </c>
      <c r="AU11" s="1556">
        <v>4554</v>
      </c>
      <c r="AV11" s="1461">
        <v>5341.77</v>
      </c>
      <c r="AW11" s="51">
        <v>133</v>
      </c>
      <c r="AX11" s="1274">
        <v>6010</v>
      </c>
      <c r="AY11" s="1275">
        <v>5758.49</v>
      </c>
      <c r="AZ11" s="1313">
        <v>5129.49</v>
      </c>
      <c r="BA11" s="1275">
        <v>5070.29</v>
      </c>
      <c r="BB11" s="43"/>
      <c r="BC11" s="1568"/>
      <c r="BD11" s="1389"/>
      <c r="BE11" s="43"/>
      <c r="BF11" s="1563"/>
      <c r="BG11" s="1534"/>
      <c r="BH11" s="43"/>
      <c r="BI11" s="1563"/>
      <c r="BJ11" s="1534"/>
      <c r="BK11" s="1560"/>
      <c r="BL11" s="1389"/>
    </row>
    <row r="12" spans="1:65">
      <c r="A12" s="18" t="s">
        <v>43</v>
      </c>
      <c r="B12" s="37">
        <v>2114</v>
      </c>
      <c r="C12" s="1577"/>
      <c r="D12" s="1575"/>
      <c r="E12" s="37">
        <v>1969</v>
      </c>
      <c r="F12" s="1577"/>
      <c r="G12" s="1575"/>
      <c r="H12" s="33">
        <v>1751</v>
      </c>
      <c r="I12" s="1494"/>
      <c r="J12" s="1524"/>
      <c r="K12" s="1355"/>
      <c r="L12" s="1358"/>
      <c r="M12" s="51">
        <v>1313</v>
      </c>
      <c r="N12" s="1495"/>
      <c r="O12" s="1572"/>
      <c r="P12" s="50">
        <v>1266</v>
      </c>
      <c r="Q12" s="1556"/>
      <c r="R12" s="1461"/>
      <c r="S12" s="51">
        <v>1222</v>
      </c>
      <c r="T12" s="1494"/>
      <c r="U12" s="1494"/>
      <c r="V12" s="1465"/>
      <c r="W12" s="1389"/>
      <c r="X12" s="71">
        <v>26</v>
      </c>
      <c r="Y12" s="1556"/>
      <c r="Z12" s="1461"/>
      <c r="AA12" s="32">
        <v>5.3999999999999999E-2</v>
      </c>
      <c r="AB12" s="1556"/>
      <c r="AC12" s="1461"/>
      <c r="AD12" s="31">
        <v>0.05</v>
      </c>
      <c r="AE12" s="1556"/>
      <c r="AF12" s="1556"/>
      <c r="AG12" s="1465"/>
      <c r="AH12" s="1389"/>
      <c r="AI12" s="1420"/>
      <c r="AJ12" s="1461"/>
      <c r="AK12" s="1420"/>
      <c r="AL12" s="1461"/>
      <c r="AM12" s="1420"/>
      <c r="AN12" s="1461"/>
      <c r="AO12" s="1289"/>
      <c r="AP12" s="1317"/>
      <c r="AQ12" s="50">
        <v>496</v>
      </c>
      <c r="AR12" s="1556"/>
      <c r="AS12" s="1461"/>
      <c r="AT12" s="50">
        <v>298</v>
      </c>
      <c r="AU12" s="1556"/>
      <c r="AV12" s="1461"/>
      <c r="AW12" s="51">
        <v>295</v>
      </c>
      <c r="AX12" s="1580"/>
      <c r="AY12" s="1435"/>
      <c r="AZ12" s="1396"/>
      <c r="BA12" s="1394"/>
      <c r="BB12" s="43"/>
      <c r="BC12" s="1568"/>
      <c r="BD12" s="1389"/>
      <c r="BE12" s="43"/>
      <c r="BF12" s="1563"/>
      <c r="BG12" s="1534"/>
      <c r="BH12" s="43"/>
      <c r="BI12" s="1563"/>
      <c r="BJ12" s="1534"/>
      <c r="BK12" s="1560"/>
      <c r="BL12" s="1389"/>
    </row>
    <row r="13" spans="1:65">
      <c r="A13" s="18" t="s">
        <v>44</v>
      </c>
      <c r="B13" s="37">
        <v>2053</v>
      </c>
      <c r="C13" s="1577"/>
      <c r="D13" s="1575"/>
      <c r="E13" s="37">
        <v>1759</v>
      </c>
      <c r="F13" s="1577"/>
      <c r="G13" s="1575"/>
      <c r="H13" s="33">
        <v>1658</v>
      </c>
      <c r="I13" s="1494"/>
      <c r="J13" s="1524"/>
      <c r="K13" s="1355"/>
      <c r="L13" s="1358"/>
      <c r="M13" s="51">
        <v>1372</v>
      </c>
      <c r="N13" s="1495"/>
      <c r="O13" s="1572"/>
      <c r="P13" s="50">
        <v>1305</v>
      </c>
      <c r="Q13" s="1556"/>
      <c r="R13" s="1461"/>
      <c r="S13" s="51">
        <v>1251</v>
      </c>
      <c r="T13" s="1494"/>
      <c r="U13" s="1494"/>
      <c r="V13" s="1465"/>
      <c r="W13" s="1389"/>
      <c r="X13" s="71">
        <v>33</v>
      </c>
      <c r="Y13" s="1556"/>
      <c r="Z13" s="1461"/>
      <c r="AA13" s="32">
        <v>0.95</v>
      </c>
      <c r="AB13" s="1556"/>
      <c r="AC13" s="1461"/>
      <c r="AD13" s="31"/>
      <c r="AE13" s="1556"/>
      <c r="AF13" s="1556"/>
      <c r="AG13" s="1465"/>
      <c r="AH13" s="1389"/>
      <c r="AI13" s="1420"/>
      <c r="AJ13" s="1461"/>
      <c r="AK13" s="1420"/>
      <c r="AL13" s="1461"/>
      <c r="AM13" s="1420"/>
      <c r="AN13" s="1461"/>
      <c r="AO13" s="1289"/>
      <c r="AP13" s="1317"/>
      <c r="AQ13" s="50">
        <v>1082</v>
      </c>
      <c r="AR13" s="1556"/>
      <c r="AS13" s="1461"/>
      <c r="AT13" s="50">
        <v>795</v>
      </c>
      <c r="AU13" s="1556"/>
      <c r="AV13" s="1461"/>
      <c r="AW13" s="51">
        <v>1119</v>
      </c>
      <c r="AX13" s="1580"/>
      <c r="AY13" s="1435"/>
      <c r="AZ13" s="1396"/>
      <c r="BA13" s="1394"/>
      <c r="BB13" s="43"/>
      <c r="BC13" s="1569">
        <v>276</v>
      </c>
      <c r="BD13" s="1243">
        <v>27477.32</v>
      </c>
      <c r="BE13" s="43"/>
      <c r="BF13" s="1569">
        <v>263</v>
      </c>
      <c r="BG13" s="1243">
        <v>26010.963</v>
      </c>
      <c r="BH13" s="43"/>
      <c r="BI13" s="1563"/>
      <c r="BJ13" s="1534"/>
      <c r="BK13" s="440"/>
      <c r="BL13" s="441"/>
      <c r="BM13" t="s">
        <v>153</v>
      </c>
    </row>
    <row r="14" spans="1:65">
      <c r="A14" s="18" t="s">
        <v>45</v>
      </c>
      <c r="B14" s="37">
        <v>2448</v>
      </c>
      <c r="C14" s="1577"/>
      <c r="D14" s="1575"/>
      <c r="E14" s="37">
        <v>1692</v>
      </c>
      <c r="F14" s="1577"/>
      <c r="G14" s="1575"/>
      <c r="H14" s="33">
        <v>2010</v>
      </c>
      <c r="I14" s="1494"/>
      <c r="J14" s="1524"/>
      <c r="K14" s="1355"/>
      <c r="L14" s="1358"/>
      <c r="M14" s="51">
        <v>1793</v>
      </c>
      <c r="N14" s="1495"/>
      <c r="O14" s="1572"/>
      <c r="P14" s="50">
        <v>1422</v>
      </c>
      <c r="Q14" s="1556"/>
      <c r="R14" s="1461"/>
      <c r="S14" s="51">
        <v>1603</v>
      </c>
      <c r="T14" s="1494"/>
      <c r="U14" s="1494"/>
      <c r="V14" s="1465"/>
      <c r="W14" s="1389"/>
      <c r="X14" s="71">
        <v>50</v>
      </c>
      <c r="Y14" s="1556"/>
      <c r="Z14" s="1461"/>
      <c r="AA14" s="32">
        <v>9.9</v>
      </c>
      <c r="AB14" s="1556"/>
      <c r="AC14" s="1461"/>
      <c r="AD14" s="31">
        <v>2</v>
      </c>
      <c r="AE14" s="1556"/>
      <c r="AF14" s="1556"/>
      <c r="AG14" s="1465"/>
      <c r="AH14" s="1389"/>
      <c r="AI14" s="1420"/>
      <c r="AJ14" s="1461"/>
      <c r="AK14" s="1420"/>
      <c r="AL14" s="1461"/>
      <c r="AM14" s="1420"/>
      <c r="AN14" s="1461"/>
      <c r="AO14" s="1289"/>
      <c r="AP14" s="1317"/>
      <c r="AQ14" s="50">
        <v>1805</v>
      </c>
      <c r="AR14" s="1556"/>
      <c r="AS14" s="1461"/>
      <c r="AT14" s="50">
        <v>1130</v>
      </c>
      <c r="AU14" s="1556"/>
      <c r="AV14" s="1461"/>
      <c r="AW14" s="51">
        <v>1661</v>
      </c>
      <c r="AX14" s="1580"/>
      <c r="AY14" s="1435"/>
      <c r="AZ14" s="1396"/>
      <c r="BA14" s="1394"/>
      <c r="BB14" s="43"/>
      <c r="BC14" s="1568"/>
      <c r="BD14" s="1389"/>
      <c r="BE14" s="43"/>
      <c r="BF14" s="1568"/>
      <c r="BG14" s="1389"/>
      <c r="BH14" s="43"/>
      <c r="BI14" s="1564">
        <v>158</v>
      </c>
      <c r="BJ14" s="1566">
        <v>16552.71</v>
      </c>
      <c r="BK14" s="440"/>
      <c r="BL14" s="441"/>
    </row>
    <row r="15" spans="1:65">
      <c r="A15" s="19" t="s">
        <v>46</v>
      </c>
      <c r="B15" s="37">
        <v>1706</v>
      </c>
      <c r="C15" s="33">
        <v>2759.4</v>
      </c>
      <c r="D15" s="33">
        <f>(2466.9+6182.3+1365.9+798.54+210.24+11.32+78.09)*A17</f>
        <v>13447.080899999999</v>
      </c>
      <c r="E15" s="37">
        <v>2042</v>
      </c>
      <c r="F15" s="33">
        <v>2902</v>
      </c>
      <c r="G15" s="38">
        <f>(2594.39+6585.31+146.49+856.8+223.8+8.64+82.13)*A17</f>
        <v>12702.047599999996</v>
      </c>
      <c r="H15" s="33">
        <v>1582</v>
      </c>
      <c r="I15" s="177">
        <v>2960</v>
      </c>
      <c r="J15" s="407">
        <v>13344.39</v>
      </c>
      <c r="K15" s="176">
        <v>2817</v>
      </c>
      <c r="L15" s="407">
        <v>14237</v>
      </c>
      <c r="M15" s="51">
        <v>1108</v>
      </c>
      <c r="N15" s="51">
        <v>1003</v>
      </c>
      <c r="O15" s="51">
        <f>(3786.36+836.55+798.54+128.76+11.32+47.83)*A17</f>
        <v>6787.3255999999992</v>
      </c>
      <c r="P15" s="50">
        <v>1631</v>
      </c>
      <c r="Q15" s="52">
        <v>2902</v>
      </c>
      <c r="R15" s="52">
        <f>(2594.39+6585.31+1436.49+856.8+223.8+8.64+82.13)*A17</f>
        <v>14262.947599999996</v>
      </c>
      <c r="S15" s="51">
        <v>1188</v>
      </c>
      <c r="T15" s="177">
        <v>2248</v>
      </c>
      <c r="U15" s="177">
        <v>10353.75</v>
      </c>
      <c r="V15" s="390">
        <v>2064</v>
      </c>
      <c r="W15" s="391">
        <v>10814</v>
      </c>
      <c r="X15" s="71">
        <v>35</v>
      </c>
      <c r="Y15" s="51">
        <f>0.005*1000</f>
        <v>5</v>
      </c>
      <c r="Z15" s="51">
        <f>(85.14+18.81+199.23+2.9+11.32+0.14)*A17</f>
        <v>384.22339999999997</v>
      </c>
      <c r="AA15" s="32">
        <v>1.3</v>
      </c>
      <c r="AB15" s="555">
        <v>38</v>
      </c>
      <c r="AC15" s="561">
        <v>442</v>
      </c>
      <c r="AD15" s="31">
        <v>3.5999999999999997E-2</v>
      </c>
      <c r="AE15" s="173">
        <v>1</v>
      </c>
      <c r="AF15" s="173">
        <v>237.58</v>
      </c>
      <c r="AG15" s="390">
        <v>2</v>
      </c>
      <c r="AH15" s="391">
        <v>372</v>
      </c>
      <c r="AI15" s="1421"/>
      <c r="AJ15" s="1462"/>
      <c r="AK15" s="1421"/>
      <c r="AL15" s="1462"/>
      <c r="AM15" s="1421"/>
      <c r="AN15" s="1462"/>
      <c r="AO15" s="1290"/>
      <c r="AP15" s="1318"/>
      <c r="AQ15" s="50">
        <v>1925</v>
      </c>
      <c r="AR15" s="1578"/>
      <c r="AS15" s="1462"/>
      <c r="AT15" s="50">
        <v>1801</v>
      </c>
      <c r="AU15" s="1578"/>
      <c r="AV15" s="1462"/>
      <c r="AW15" s="51">
        <v>2160</v>
      </c>
      <c r="AX15" s="1581"/>
      <c r="AY15" s="1436"/>
      <c r="AZ15" s="1397"/>
      <c r="BA15" s="1399"/>
      <c r="BB15" s="43"/>
      <c r="BC15" s="1570"/>
      <c r="BD15" s="1390"/>
      <c r="BE15" s="43"/>
      <c r="BF15" s="1570"/>
      <c r="BG15" s="1390"/>
      <c r="BH15" s="43"/>
      <c r="BI15" s="1565"/>
      <c r="BJ15" s="1567"/>
      <c r="BK15" s="440"/>
      <c r="BL15" s="441"/>
    </row>
    <row r="16" spans="1:65">
      <c r="A16" s="13" t="s">
        <v>4</v>
      </c>
      <c r="B16" s="53">
        <f t="shared" ref="B16:AN16" si="0">SUM(B4:B15)</f>
        <v>22623</v>
      </c>
      <c r="C16" s="53">
        <f t="shared" si="0"/>
        <v>21705.350000000002</v>
      </c>
      <c r="D16" s="53">
        <f t="shared" si="0"/>
        <v>105283.16480000001</v>
      </c>
      <c r="E16" s="53">
        <f t="shared" si="0"/>
        <v>18932</v>
      </c>
      <c r="F16" s="53">
        <f t="shared" si="0"/>
        <v>19304.599999999999</v>
      </c>
      <c r="G16" s="53">
        <f t="shared" si="0"/>
        <v>93804.911199999988</v>
      </c>
      <c r="H16" s="53">
        <f t="shared" si="0"/>
        <v>17766</v>
      </c>
      <c r="I16" s="66">
        <f t="shared" si="0"/>
        <v>18159</v>
      </c>
      <c r="J16" s="66">
        <f t="shared" si="0"/>
        <v>97592.140400000004</v>
      </c>
      <c r="K16" s="66">
        <f>SUM(K4:K15)</f>
        <v>19901</v>
      </c>
      <c r="L16" s="416">
        <f>SUM(L4:L15)</f>
        <v>93065.45</v>
      </c>
      <c r="M16" s="54">
        <f t="shared" si="0"/>
        <v>14434</v>
      </c>
      <c r="N16" s="53">
        <f t="shared" si="0"/>
        <v>13315</v>
      </c>
      <c r="O16" s="53">
        <f t="shared" si="0"/>
        <v>68634.745299999995</v>
      </c>
      <c r="P16" s="53">
        <f t="shared" si="0"/>
        <v>11895</v>
      </c>
      <c r="Q16" s="53">
        <f t="shared" si="0"/>
        <v>12951</v>
      </c>
      <c r="R16" s="53">
        <f t="shared" si="0"/>
        <v>66370.932100000005</v>
      </c>
      <c r="S16" s="53">
        <f t="shared" si="0"/>
        <v>12415</v>
      </c>
      <c r="T16" s="66">
        <f t="shared" si="0"/>
        <v>13313</v>
      </c>
      <c r="U16" s="66">
        <f t="shared" si="0"/>
        <v>73593.746600000013</v>
      </c>
      <c r="V16" s="129">
        <f>SUM(V4:V15)</f>
        <v>12772</v>
      </c>
      <c r="W16" s="463">
        <f>SUM(W4:W15)</f>
        <v>63010.8</v>
      </c>
      <c r="X16" s="53">
        <f t="shared" si="0"/>
        <v>209.15</v>
      </c>
      <c r="Y16" s="53">
        <f t="shared" si="0"/>
        <v>60</v>
      </c>
      <c r="Z16" s="53">
        <f t="shared" si="0"/>
        <v>2539.1970999999999</v>
      </c>
      <c r="AA16" s="53">
        <f t="shared" si="0"/>
        <v>184.50399999999999</v>
      </c>
      <c r="AB16" s="53">
        <f t="shared" si="0"/>
        <v>250</v>
      </c>
      <c r="AC16" s="53">
        <f t="shared" si="0"/>
        <v>2811.6155999999996</v>
      </c>
      <c r="AD16" s="53">
        <f t="shared" si="0"/>
        <v>12.965999999999999</v>
      </c>
      <c r="AE16" s="53">
        <f t="shared" si="0"/>
        <v>16</v>
      </c>
      <c r="AF16" s="53">
        <f t="shared" si="0"/>
        <v>2106.4854999999998</v>
      </c>
      <c r="AG16" s="129">
        <f>SUM(AG4:AG15)</f>
        <v>9</v>
      </c>
      <c r="AH16" s="463">
        <f>SUM(AH4:AH15)</f>
        <v>2263.27</v>
      </c>
      <c r="AI16" s="53">
        <f t="shared" si="0"/>
        <v>343194.12000000005</v>
      </c>
      <c r="AJ16" s="53">
        <f t="shared" si="0"/>
        <v>783464.73</v>
      </c>
      <c r="AK16" s="53">
        <f t="shared" si="0"/>
        <v>334780.45600000001</v>
      </c>
      <c r="AL16" s="53">
        <f t="shared" si="0"/>
        <v>729875.14</v>
      </c>
      <c r="AM16" s="53">
        <f t="shared" si="0"/>
        <v>369806.29175999993</v>
      </c>
      <c r="AN16" s="53">
        <f t="shared" si="0"/>
        <v>786833.51</v>
      </c>
      <c r="AO16" s="53">
        <f>SUM(AO4:AO15)</f>
        <v>332778</v>
      </c>
      <c r="AP16" s="53">
        <f>SUM(AP4:AP15)</f>
        <v>1196203</v>
      </c>
      <c r="AQ16" s="53">
        <f>SUM(AQ4:AQ15)</f>
        <v>12529.8</v>
      </c>
      <c r="AR16" s="53">
        <f t="shared" ref="AR16:BJ16" si="1">SUM(AR4:AR15)</f>
        <v>14292.82</v>
      </c>
      <c r="AS16" s="53">
        <f t="shared" si="1"/>
        <v>19831.13</v>
      </c>
      <c r="AT16" s="53">
        <f t="shared" si="1"/>
        <v>10493</v>
      </c>
      <c r="AU16" s="53">
        <f t="shared" si="1"/>
        <v>12665</v>
      </c>
      <c r="AV16" s="53">
        <f t="shared" si="1"/>
        <v>14621.77</v>
      </c>
      <c r="AW16" s="53">
        <f t="shared" si="1"/>
        <v>12607.2</v>
      </c>
      <c r="AX16" s="129">
        <f t="shared" si="1"/>
        <v>14838.65</v>
      </c>
      <c r="AY16" s="129">
        <f t="shared" si="1"/>
        <v>14278.585999999999</v>
      </c>
      <c r="AZ16" s="129">
        <f>SUM(AZ4:AZ15)</f>
        <v>13712.28</v>
      </c>
      <c r="BA16" s="129">
        <f>SUM(BA4:BA15)</f>
        <v>13472.506000000001</v>
      </c>
      <c r="BB16" s="53">
        <f t="shared" si="1"/>
        <v>0</v>
      </c>
      <c r="BC16" s="439">
        <f t="shared" si="1"/>
        <v>1577</v>
      </c>
      <c r="BD16" s="129">
        <f t="shared" si="1"/>
        <v>156999.01999999999</v>
      </c>
      <c r="BE16" s="53">
        <f t="shared" si="1"/>
        <v>0</v>
      </c>
      <c r="BF16" s="439">
        <f t="shared" si="1"/>
        <v>1193</v>
      </c>
      <c r="BG16" s="129">
        <f t="shared" si="1"/>
        <v>119823.057</v>
      </c>
      <c r="BH16" s="53"/>
      <c r="BI16" s="439">
        <f t="shared" si="1"/>
        <v>1082</v>
      </c>
      <c r="BJ16" s="129">
        <f t="shared" si="1"/>
        <v>113354.65</v>
      </c>
      <c r="BK16" s="424">
        <f>SUM(BK4:BK15)</f>
        <v>985</v>
      </c>
      <c r="BL16" s="421">
        <f>SUM(BL4:BL15)</f>
        <v>110766.2</v>
      </c>
    </row>
    <row r="17" spans="1:53">
      <c r="A17">
        <v>1.21</v>
      </c>
      <c r="AR17" s="91"/>
      <c r="AU17" s="91"/>
      <c r="AV17" s="91"/>
      <c r="AX17" s="91"/>
      <c r="AY17" s="91"/>
      <c r="AZ17" s="91"/>
      <c r="BA17" s="91"/>
    </row>
    <row r="18" spans="1:53">
      <c r="A18" s="11">
        <v>277.77999999999997</v>
      </c>
      <c r="Z18" s="91"/>
    </row>
    <row r="19" spans="1:53">
      <c r="O19" s="91"/>
      <c r="Q19" s="91"/>
      <c r="R19" s="91"/>
      <c r="AS19" s="91"/>
    </row>
    <row r="22" spans="1:53">
      <c r="AR22" s="169"/>
    </row>
    <row r="23" spans="1:53">
      <c r="AW23" s="180"/>
    </row>
    <row r="24" spans="1:53">
      <c r="AR24" s="169"/>
      <c r="AX24" s="181"/>
    </row>
    <row r="25" spans="1:53">
      <c r="AT25" s="169"/>
    </row>
  </sheetData>
  <mergeCells count="93">
    <mergeCell ref="K4:K14"/>
    <mergeCell ref="L4:L14"/>
    <mergeCell ref="V4:V14"/>
    <mergeCell ref="W4:W14"/>
    <mergeCell ref="AG4:AG14"/>
    <mergeCell ref="AE4:AE14"/>
    <mergeCell ref="AC4:AC14"/>
    <mergeCell ref="U4:U14"/>
    <mergeCell ref="T4:T14"/>
    <mergeCell ref="Z4:Z14"/>
    <mergeCell ref="Y4:Y14"/>
    <mergeCell ref="AB4:AB14"/>
    <mergeCell ref="BK2:BL2"/>
    <mergeCell ref="BB1:BL1"/>
    <mergeCell ref="AZ2:BA2"/>
    <mergeCell ref="AQ1:BA1"/>
    <mergeCell ref="AI1:AP1"/>
    <mergeCell ref="AO2:AP2"/>
    <mergeCell ref="AK2:AL2"/>
    <mergeCell ref="AM2:AN2"/>
    <mergeCell ref="AQ2:AS2"/>
    <mergeCell ref="AT2:AV2"/>
    <mergeCell ref="AW2:AY2"/>
    <mergeCell ref="BB2:BD2"/>
    <mergeCell ref="BE2:BG2"/>
    <mergeCell ref="BH2:BJ2"/>
    <mergeCell ref="AI2:AJ2"/>
    <mergeCell ref="AU11:AU15"/>
    <mergeCell ref="AV11:AV15"/>
    <mergeCell ref="AU4:AU10"/>
    <mergeCell ref="AV4:AV10"/>
    <mergeCell ref="AX4:AX10"/>
    <mergeCell ref="AX11:AX15"/>
    <mergeCell ref="AN4:AN15"/>
    <mergeCell ref="AM4:AM15"/>
    <mergeCell ref="AR11:AR15"/>
    <mergeCell ref="AS11:AS15"/>
    <mergeCell ref="AR4:AR9"/>
    <mergeCell ref="AS4:AS9"/>
    <mergeCell ref="AP4:AP15"/>
    <mergeCell ref="AO4:AO15"/>
    <mergeCell ref="AI4:AI15"/>
    <mergeCell ref="AL4:AL15"/>
    <mergeCell ref="AK4:AK15"/>
    <mergeCell ref="AJ4:AJ15"/>
    <mergeCell ref="AH4:AH14"/>
    <mergeCell ref="D4:D14"/>
    <mergeCell ref="C4:C14"/>
    <mergeCell ref="G4:G14"/>
    <mergeCell ref="F4:F14"/>
    <mergeCell ref="J4:J14"/>
    <mergeCell ref="I4:I14"/>
    <mergeCell ref="A1:A3"/>
    <mergeCell ref="B2:D2"/>
    <mergeCell ref="E2:G2"/>
    <mergeCell ref="H2:J2"/>
    <mergeCell ref="M2:O2"/>
    <mergeCell ref="K2:L2"/>
    <mergeCell ref="B1:L1"/>
    <mergeCell ref="X1:AH1"/>
    <mergeCell ref="AG2:AH2"/>
    <mergeCell ref="M1:W1"/>
    <mergeCell ref="O4:O14"/>
    <mergeCell ref="N4:N14"/>
    <mergeCell ref="R4:R14"/>
    <mergeCell ref="Q4:Q14"/>
    <mergeCell ref="AF4:AF14"/>
    <mergeCell ref="P2:R2"/>
    <mergeCell ref="S2:U2"/>
    <mergeCell ref="X2:Z2"/>
    <mergeCell ref="AA2:AC2"/>
    <mergeCell ref="AD2:AF2"/>
    <mergeCell ref="V2:W2"/>
    <mergeCell ref="BC4:BC12"/>
    <mergeCell ref="BD4:BD12"/>
    <mergeCell ref="BC13:BC15"/>
    <mergeCell ref="BD13:BD15"/>
    <mergeCell ref="BF4:BF12"/>
    <mergeCell ref="BF13:BF15"/>
    <mergeCell ref="AY4:AY10"/>
    <mergeCell ref="AY11:AY15"/>
    <mergeCell ref="AZ4:AZ10"/>
    <mergeCell ref="BA4:BA10"/>
    <mergeCell ref="AZ11:AZ15"/>
    <mergeCell ref="BA11:BA15"/>
    <mergeCell ref="BK4:BK12"/>
    <mergeCell ref="BL4:BL12"/>
    <mergeCell ref="BG13:BG15"/>
    <mergeCell ref="BI4:BI13"/>
    <mergeCell ref="BJ4:BJ13"/>
    <mergeCell ref="BI14:BI15"/>
    <mergeCell ref="BJ14:BJ15"/>
    <mergeCell ref="BG4:BG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27"/>
  <sheetViews>
    <sheetView zoomScale="70" zoomScaleNormal="70" workbookViewId="0">
      <pane xSplit="1" topLeftCell="B1" activePane="topRight" state="frozen"/>
      <selection pane="topRight" activeCell="L37" sqref="L37"/>
    </sheetView>
  </sheetViews>
  <sheetFormatPr defaultColWidth="8.85546875" defaultRowHeight="15"/>
  <cols>
    <col min="12" max="12" width="9.5703125" bestFit="1" customWidth="1"/>
    <col min="13" max="19" width="9.28515625" bestFit="1" customWidth="1"/>
    <col min="23" max="23" width="10.5703125" bestFit="1" customWidth="1"/>
    <col min="24" max="30" width="9.28515625" bestFit="1" customWidth="1"/>
    <col min="34" max="34" width="10.5703125" bestFit="1" customWidth="1"/>
    <col min="45" max="45" width="12" bestFit="1" customWidth="1"/>
    <col min="47" max="55" width="9.140625" customWidth="1"/>
    <col min="56" max="56" width="12" bestFit="1" customWidth="1"/>
    <col min="57" max="80" width="9.140625" customWidth="1"/>
    <col min="81" max="81" width="10.5703125" bestFit="1" customWidth="1"/>
    <col min="82" max="133" width="9.140625" customWidth="1"/>
    <col min="134" max="135" width="9.28515625" bestFit="1" customWidth="1"/>
    <col min="136" max="136" width="9.42578125" bestFit="1" customWidth="1"/>
    <col min="137" max="142" width="9.28515625" bestFit="1" customWidth="1"/>
  </cols>
  <sheetData>
    <row r="1" spans="1:144" ht="15" customHeight="1">
      <c r="A1" s="1255"/>
      <c r="B1" s="1261" t="s">
        <v>77</v>
      </c>
      <c r="C1" s="1262"/>
      <c r="D1" s="1262"/>
      <c r="E1" s="1262"/>
      <c r="F1" s="1262"/>
      <c r="G1" s="1262"/>
      <c r="H1" s="1262"/>
      <c r="I1" s="1262"/>
      <c r="J1" s="1262"/>
      <c r="K1" s="1263"/>
      <c r="L1" s="1264"/>
      <c r="M1" s="1261" t="s">
        <v>76</v>
      </c>
      <c r="N1" s="1262"/>
      <c r="O1" s="1262"/>
      <c r="P1" s="1262"/>
      <c r="Q1" s="1262"/>
      <c r="R1" s="1262"/>
      <c r="S1" s="1262"/>
      <c r="T1" s="1262"/>
      <c r="U1" s="1262"/>
      <c r="V1" s="1263"/>
      <c r="W1" s="1264"/>
      <c r="X1" s="1261" t="s">
        <v>78</v>
      </c>
      <c r="Y1" s="1262"/>
      <c r="Z1" s="1262"/>
      <c r="AA1" s="1262"/>
      <c r="AB1" s="1262"/>
      <c r="AC1" s="1262"/>
      <c r="AD1" s="1262"/>
      <c r="AE1" s="1262"/>
      <c r="AF1" s="1262"/>
      <c r="AG1" s="1263"/>
      <c r="AH1" s="1264"/>
      <c r="AI1" s="1261" t="s">
        <v>80</v>
      </c>
      <c r="AJ1" s="1262"/>
      <c r="AK1" s="1262"/>
      <c r="AL1" s="1262"/>
      <c r="AM1" s="1262"/>
      <c r="AN1" s="1262"/>
      <c r="AO1" s="1262"/>
      <c r="AP1" s="1262"/>
      <c r="AQ1" s="1262"/>
      <c r="AR1" s="1263"/>
      <c r="AS1" s="1264"/>
      <c r="AT1" s="1261" t="s">
        <v>79</v>
      </c>
      <c r="AU1" s="1262"/>
      <c r="AV1" s="1262"/>
      <c r="AW1" s="1262"/>
      <c r="AX1" s="1262"/>
      <c r="AY1" s="1262"/>
      <c r="AZ1" s="1262"/>
      <c r="BA1" s="1262"/>
      <c r="BB1" s="1262"/>
      <c r="BC1" s="1263"/>
      <c r="BD1" s="1264"/>
      <c r="BE1" s="1265" t="s">
        <v>81</v>
      </c>
      <c r="BF1" s="1266"/>
      <c r="BG1" s="1266"/>
      <c r="BH1" s="1266"/>
      <c r="BI1" s="1266"/>
      <c r="BJ1" s="1266"/>
      <c r="BK1" s="1266"/>
      <c r="BL1" s="1266"/>
      <c r="BM1" s="1266"/>
      <c r="BN1" s="1263"/>
      <c r="BO1" s="1264"/>
      <c r="BP1" s="1265" t="s">
        <v>82</v>
      </c>
      <c r="BQ1" s="1266"/>
      <c r="BR1" s="1266"/>
      <c r="BS1" s="1266"/>
      <c r="BT1" s="1266"/>
      <c r="BU1" s="1266"/>
      <c r="BV1" s="1266"/>
      <c r="BW1" s="1266"/>
      <c r="BX1" s="1266"/>
      <c r="BY1" s="1263"/>
      <c r="BZ1" s="1264"/>
      <c r="CA1" s="1265" t="s">
        <v>83</v>
      </c>
      <c r="CB1" s="1266"/>
      <c r="CC1" s="1266"/>
      <c r="CD1" s="1266"/>
      <c r="CE1" s="1266"/>
      <c r="CF1" s="1266"/>
      <c r="CG1" s="1266"/>
      <c r="CH1" s="1266"/>
      <c r="CI1" s="1266"/>
      <c r="CJ1" s="1263"/>
      <c r="CK1" s="1264"/>
      <c r="CL1" s="1265" t="s">
        <v>84</v>
      </c>
      <c r="CM1" s="1266"/>
      <c r="CN1" s="1266"/>
      <c r="CO1" s="1266"/>
      <c r="CP1" s="1266"/>
      <c r="CQ1" s="1266"/>
      <c r="CR1" s="1266"/>
      <c r="CS1" s="1266"/>
      <c r="CT1" s="1266"/>
      <c r="CU1" s="1263"/>
      <c r="CV1" s="1264"/>
      <c r="CW1" s="1265" t="s">
        <v>85</v>
      </c>
      <c r="CX1" s="1266"/>
      <c r="CY1" s="1266"/>
      <c r="CZ1" s="1266"/>
      <c r="DA1" s="1266"/>
      <c r="DB1" s="1266"/>
      <c r="DC1" s="1266"/>
      <c r="DD1" s="1266"/>
      <c r="DE1" s="1266"/>
      <c r="DF1" s="1263"/>
      <c r="DG1" s="1264"/>
      <c r="DH1" s="1265" t="s">
        <v>86</v>
      </c>
      <c r="DI1" s="1266"/>
      <c r="DJ1" s="1266"/>
      <c r="DK1" s="1266"/>
      <c r="DL1" s="1266"/>
      <c r="DM1" s="1266"/>
      <c r="DN1" s="1266"/>
      <c r="DO1" s="1266"/>
      <c r="DP1" s="1266"/>
      <c r="DQ1" s="1263"/>
      <c r="DR1" s="1264"/>
      <c r="DS1" s="1265" t="s">
        <v>87</v>
      </c>
      <c r="DT1" s="1266"/>
      <c r="DU1" s="1266"/>
      <c r="DV1" s="1266"/>
      <c r="DW1" s="1266"/>
      <c r="DX1" s="1266"/>
      <c r="DY1" s="1266"/>
      <c r="DZ1" s="1266"/>
      <c r="EA1" s="1266"/>
      <c r="EB1" s="1263"/>
      <c r="EC1" s="1264"/>
      <c r="ED1" s="1621" t="s">
        <v>88</v>
      </c>
      <c r="EE1" s="1622"/>
      <c r="EF1" s="1622"/>
      <c r="EG1" s="1622"/>
      <c r="EH1" s="1622"/>
      <c r="EI1" s="1622"/>
      <c r="EJ1" s="1622"/>
      <c r="EK1" s="1622"/>
      <c r="EL1" s="1622"/>
      <c r="EM1" s="1623"/>
      <c r="EN1" s="1623"/>
    </row>
    <row r="2" spans="1:144">
      <c r="A2" s="1255"/>
      <c r="B2" s="1319">
        <v>2019</v>
      </c>
      <c r="C2" s="1320"/>
      <c r="D2" s="1320"/>
      <c r="E2" s="1319">
        <v>2020</v>
      </c>
      <c r="F2" s="1320"/>
      <c r="G2" s="1321"/>
      <c r="H2" s="1322">
        <v>2021</v>
      </c>
      <c r="I2" s="1320"/>
      <c r="J2" s="1320"/>
      <c r="K2" s="1319">
        <v>2022</v>
      </c>
      <c r="L2" s="1272"/>
      <c r="M2" s="1322">
        <v>2019</v>
      </c>
      <c r="N2" s="1320"/>
      <c r="O2" s="1320"/>
      <c r="P2" s="1319">
        <v>2020</v>
      </c>
      <c r="Q2" s="1320"/>
      <c r="R2" s="1321"/>
      <c r="S2" s="1322">
        <v>2021</v>
      </c>
      <c r="T2" s="1320"/>
      <c r="U2" s="1320"/>
      <c r="V2" s="1319">
        <v>2022</v>
      </c>
      <c r="W2" s="1272"/>
      <c r="X2" s="1322">
        <v>2019</v>
      </c>
      <c r="Y2" s="1320"/>
      <c r="Z2" s="1320"/>
      <c r="AA2" s="1319">
        <v>2020</v>
      </c>
      <c r="AB2" s="1320"/>
      <c r="AC2" s="1321"/>
      <c r="AD2" s="1322">
        <v>2021</v>
      </c>
      <c r="AE2" s="1320"/>
      <c r="AF2" s="1320"/>
      <c r="AG2" s="1319">
        <v>2022</v>
      </c>
      <c r="AH2" s="1272"/>
      <c r="AI2" s="1271">
        <v>2019</v>
      </c>
      <c r="AJ2" s="1292"/>
      <c r="AK2" s="1292"/>
      <c r="AL2" s="1271">
        <v>2020</v>
      </c>
      <c r="AM2" s="1292"/>
      <c r="AN2" s="1293"/>
      <c r="AO2" s="1294">
        <v>2021</v>
      </c>
      <c r="AP2" s="1292"/>
      <c r="AQ2" s="1292"/>
      <c r="AR2" s="1271">
        <v>2022</v>
      </c>
      <c r="AS2" s="1272"/>
      <c r="AT2" s="1271">
        <v>2019</v>
      </c>
      <c r="AU2" s="1292"/>
      <c r="AV2" s="1292"/>
      <c r="AW2" s="1271">
        <v>2020</v>
      </c>
      <c r="AX2" s="1292"/>
      <c r="AY2" s="1293"/>
      <c r="AZ2" s="1294">
        <v>2021</v>
      </c>
      <c r="BA2" s="1292"/>
      <c r="BB2" s="1292"/>
      <c r="BC2" s="1271">
        <v>2022</v>
      </c>
      <c r="BD2" s="1272"/>
      <c r="BE2" s="1633">
        <v>2019</v>
      </c>
      <c r="BF2" s="1613"/>
      <c r="BG2" s="1613"/>
      <c r="BH2" s="1612">
        <v>2020</v>
      </c>
      <c r="BI2" s="1613"/>
      <c r="BJ2" s="1614"/>
      <c r="BK2" s="1612">
        <v>2021</v>
      </c>
      <c r="BL2" s="1613"/>
      <c r="BM2" s="1614"/>
      <c r="BN2" s="1618">
        <v>2022</v>
      </c>
      <c r="BO2" s="1272"/>
      <c r="BP2" s="1612">
        <v>2019</v>
      </c>
      <c r="BQ2" s="1613"/>
      <c r="BR2" s="1613"/>
      <c r="BS2" s="1612">
        <v>2020</v>
      </c>
      <c r="BT2" s="1613"/>
      <c r="BU2" s="1614"/>
      <c r="BV2" s="1612">
        <v>2021</v>
      </c>
      <c r="BW2" s="1613"/>
      <c r="BX2" s="1614"/>
      <c r="BY2" s="1618">
        <v>2022</v>
      </c>
      <c r="BZ2" s="1272"/>
      <c r="CA2" s="1612">
        <v>2019</v>
      </c>
      <c r="CB2" s="1613"/>
      <c r="CC2" s="1613"/>
      <c r="CD2" s="1612">
        <v>2020</v>
      </c>
      <c r="CE2" s="1613"/>
      <c r="CF2" s="1614"/>
      <c r="CG2" s="1612">
        <v>2021</v>
      </c>
      <c r="CH2" s="1613"/>
      <c r="CI2" s="1614"/>
      <c r="CJ2" s="1618">
        <v>2022</v>
      </c>
      <c r="CK2" s="1272"/>
      <c r="CL2" s="1612">
        <v>2019</v>
      </c>
      <c r="CM2" s="1613"/>
      <c r="CN2" s="1613"/>
      <c r="CO2" s="1612">
        <v>2020</v>
      </c>
      <c r="CP2" s="1613"/>
      <c r="CQ2" s="1614"/>
      <c r="CR2" s="1612">
        <v>2021</v>
      </c>
      <c r="CS2" s="1613"/>
      <c r="CT2" s="1614"/>
      <c r="CU2" s="1618">
        <v>2022</v>
      </c>
      <c r="CV2" s="1272"/>
      <c r="CW2" s="1612">
        <v>2019</v>
      </c>
      <c r="CX2" s="1613"/>
      <c r="CY2" s="1613"/>
      <c r="CZ2" s="1612">
        <v>2020</v>
      </c>
      <c r="DA2" s="1613"/>
      <c r="DB2" s="1614"/>
      <c r="DC2" s="1612">
        <v>2021</v>
      </c>
      <c r="DD2" s="1613"/>
      <c r="DE2" s="1614"/>
      <c r="DF2" s="1618">
        <v>2022</v>
      </c>
      <c r="DG2" s="1272"/>
      <c r="DH2" s="1612">
        <v>2019</v>
      </c>
      <c r="DI2" s="1613"/>
      <c r="DJ2" s="1613"/>
      <c r="DK2" s="1612">
        <v>2020</v>
      </c>
      <c r="DL2" s="1613"/>
      <c r="DM2" s="1614"/>
      <c r="DN2" s="1612">
        <v>2021</v>
      </c>
      <c r="DO2" s="1613"/>
      <c r="DP2" s="1614"/>
      <c r="DQ2" s="1618">
        <v>2022</v>
      </c>
      <c r="DR2" s="1272"/>
      <c r="DS2" s="1615">
        <v>2019</v>
      </c>
      <c r="DT2" s="1616"/>
      <c r="DU2" s="1616"/>
      <c r="DV2" s="1615">
        <v>2020</v>
      </c>
      <c r="DW2" s="1616"/>
      <c r="DX2" s="1617"/>
      <c r="DY2" s="1615">
        <v>2021</v>
      </c>
      <c r="DZ2" s="1616"/>
      <c r="EA2" s="1617"/>
      <c r="EB2" s="1619">
        <v>2022</v>
      </c>
      <c r="EC2" s="1272"/>
      <c r="ED2" s="1615">
        <v>2019</v>
      </c>
      <c r="EE2" s="1616"/>
      <c r="EF2" s="1616"/>
      <c r="EG2" s="1615">
        <v>2020</v>
      </c>
      <c r="EH2" s="1616"/>
      <c r="EI2" s="1617"/>
      <c r="EJ2" s="1615">
        <v>2021</v>
      </c>
      <c r="EK2" s="1616"/>
      <c r="EL2" s="1617"/>
      <c r="EM2" s="1620">
        <v>2022</v>
      </c>
      <c r="EN2" s="1272"/>
    </row>
    <row r="3" spans="1:144" ht="30">
      <c r="A3" s="1255"/>
      <c r="B3" s="1" t="s">
        <v>1</v>
      </c>
      <c r="C3" s="2" t="s">
        <v>2</v>
      </c>
      <c r="D3" s="2" t="s">
        <v>3</v>
      </c>
      <c r="E3" s="1" t="s">
        <v>1</v>
      </c>
      <c r="F3" s="2" t="s">
        <v>2</v>
      </c>
      <c r="G3" s="3" t="s">
        <v>3</v>
      </c>
      <c r="H3" s="2" t="s">
        <v>67</v>
      </c>
      <c r="I3" s="2" t="s">
        <v>2</v>
      </c>
      <c r="J3" s="2" t="s">
        <v>3</v>
      </c>
      <c r="K3" s="1" t="s">
        <v>1</v>
      </c>
      <c r="L3" s="3" t="s">
        <v>3</v>
      </c>
      <c r="M3" s="2" t="s">
        <v>1</v>
      </c>
      <c r="N3" s="2" t="s">
        <v>2</v>
      </c>
      <c r="O3" s="2" t="s">
        <v>3</v>
      </c>
      <c r="P3" s="1" t="s">
        <v>1</v>
      </c>
      <c r="Q3" s="2" t="s">
        <v>2</v>
      </c>
      <c r="R3" s="3" t="s">
        <v>3</v>
      </c>
      <c r="S3" s="2" t="s">
        <v>54</v>
      </c>
      <c r="T3" s="2" t="s">
        <v>2</v>
      </c>
      <c r="U3" s="2" t="s">
        <v>3</v>
      </c>
      <c r="V3" s="1" t="s">
        <v>1</v>
      </c>
      <c r="W3" s="3" t="s">
        <v>3</v>
      </c>
      <c r="X3" s="2" t="s">
        <v>1</v>
      </c>
      <c r="Y3" s="2" t="s">
        <v>2</v>
      </c>
      <c r="Z3" s="2" t="s">
        <v>3</v>
      </c>
      <c r="AA3" s="1" t="s">
        <v>1</v>
      </c>
      <c r="AB3" s="2" t="s">
        <v>2</v>
      </c>
      <c r="AC3" s="3" t="s">
        <v>3</v>
      </c>
      <c r="AD3" s="2" t="s">
        <v>67</v>
      </c>
      <c r="AE3" s="2" t="s">
        <v>2</v>
      </c>
      <c r="AF3" s="2" t="s">
        <v>3</v>
      </c>
      <c r="AG3" s="1" t="s">
        <v>1</v>
      </c>
      <c r="AH3" s="3" t="s">
        <v>3</v>
      </c>
      <c r="AI3" s="1" t="s">
        <v>1</v>
      </c>
      <c r="AJ3" s="2" t="s">
        <v>2</v>
      </c>
      <c r="AK3" s="2" t="s">
        <v>3</v>
      </c>
      <c r="AL3" s="1" t="s">
        <v>1</v>
      </c>
      <c r="AM3" s="2" t="s">
        <v>2</v>
      </c>
      <c r="AN3" s="3" t="s">
        <v>3</v>
      </c>
      <c r="AO3" s="2" t="s">
        <v>67</v>
      </c>
      <c r="AP3" s="2" t="s">
        <v>2</v>
      </c>
      <c r="AQ3" s="2" t="s">
        <v>3</v>
      </c>
      <c r="AR3" s="1" t="s">
        <v>1</v>
      </c>
      <c r="AS3" s="3" t="s">
        <v>3</v>
      </c>
      <c r="AT3" s="1" t="s">
        <v>1</v>
      </c>
      <c r="AU3" s="2" t="s">
        <v>2</v>
      </c>
      <c r="AV3" s="2" t="s">
        <v>3</v>
      </c>
      <c r="AW3" s="1" t="s">
        <v>1</v>
      </c>
      <c r="AX3" s="2" t="s">
        <v>2</v>
      </c>
      <c r="AY3" s="3" t="s">
        <v>3</v>
      </c>
      <c r="AZ3" s="2" t="s">
        <v>67</v>
      </c>
      <c r="BA3" s="2" t="s">
        <v>2</v>
      </c>
      <c r="BB3" s="2" t="s">
        <v>3</v>
      </c>
      <c r="BC3" s="1" t="s">
        <v>1</v>
      </c>
      <c r="BD3" s="3" t="s">
        <v>3</v>
      </c>
      <c r="BE3" s="361" t="s">
        <v>6</v>
      </c>
      <c r="BF3" s="8" t="s">
        <v>7</v>
      </c>
      <c r="BG3" s="8" t="s">
        <v>3</v>
      </c>
      <c r="BH3" s="7" t="s">
        <v>6</v>
      </c>
      <c r="BI3" s="8" t="s">
        <v>7</v>
      </c>
      <c r="BJ3" s="9" t="s">
        <v>3</v>
      </c>
      <c r="BK3" s="7" t="s">
        <v>6</v>
      </c>
      <c r="BL3" s="8" t="s">
        <v>7</v>
      </c>
      <c r="BM3" s="9" t="s">
        <v>3</v>
      </c>
      <c r="BN3" s="372" t="s">
        <v>1</v>
      </c>
      <c r="BO3" s="372" t="s">
        <v>3</v>
      </c>
      <c r="BP3" s="7" t="s">
        <v>6</v>
      </c>
      <c r="BQ3" s="8" t="s">
        <v>7</v>
      </c>
      <c r="BR3" s="8" t="s">
        <v>3</v>
      </c>
      <c r="BS3" s="7" t="s">
        <v>6</v>
      </c>
      <c r="BT3" s="8" t="s">
        <v>7</v>
      </c>
      <c r="BU3" s="9" t="s">
        <v>3</v>
      </c>
      <c r="BV3" s="7" t="s">
        <v>6</v>
      </c>
      <c r="BW3" s="8" t="s">
        <v>7</v>
      </c>
      <c r="BX3" s="9" t="s">
        <v>3</v>
      </c>
      <c r="BY3" s="372" t="s">
        <v>1</v>
      </c>
      <c r="BZ3" s="372" t="s">
        <v>3</v>
      </c>
      <c r="CA3" s="7" t="s">
        <v>6</v>
      </c>
      <c r="CB3" s="8" t="s">
        <v>7</v>
      </c>
      <c r="CC3" s="8" t="s">
        <v>3</v>
      </c>
      <c r="CD3" s="7" t="s">
        <v>6</v>
      </c>
      <c r="CE3" s="8" t="s">
        <v>7</v>
      </c>
      <c r="CF3" s="9" t="s">
        <v>3</v>
      </c>
      <c r="CG3" s="7" t="s">
        <v>6</v>
      </c>
      <c r="CH3" s="8" t="s">
        <v>7</v>
      </c>
      <c r="CI3" s="9" t="s">
        <v>3</v>
      </c>
      <c r="CJ3" s="372" t="s">
        <v>1</v>
      </c>
      <c r="CK3" s="372" t="s">
        <v>3</v>
      </c>
      <c r="CL3" s="7" t="s">
        <v>6</v>
      </c>
      <c r="CM3" s="8" t="s">
        <v>7</v>
      </c>
      <c r="CN3" s="8" t="s">
        <v>3</v>
      </c>
      <c r="CO3" s="7" t="s">
        <v>6</v>
      </c>
      <c r="CP3" s="8" t="s">
        <v>7</v>
      </c>
      <c r="CQ3" s="9" t="s">
        <v>3</v>
      </c>
      <c r="CR3" s="7" t="s">
        <v>6</v>
      </c>
      <c r="CS3" s="8" t="s">
        <v>7</v>
      </c>
      <c r="CT3" s="9" t="s">
        <v>3</v>
      </c>
      <c r="CU3" s="372" t="s">
        <v>1</v>
      </c>
      <c r="CV3" s="372" t="s">
        <v>3</v>
      </c>
      <c r="CW3" s="7" t="s">
        <v>6</v>
      </c>
      <c r="CX3" s="8" t="s">
        <v>7</v>
      </c>
      <c r="CY3" s="8" t="s">
        <v>3</v>
      </c>
      <c r="CZ3" s="7" t="s">
        <v>6</v>
      </c>
      <c r="DA3" s="8" t="s">
        <v>7</v>
      </c>
      <c r="DB3" s="9" t="s">
        <v>3</v>
      </c>
      <c r="DC3" s="7" t="s">
        <v>6</v>
      </c>
      <c r="DD3" s="8" t="s">
        <v>7</v>
      </c>
      <c r="DE3" s="9" t="s">
        <v>3</v>
      </c>
      <c r="DF3" s="372" t="s">
        <v>1</v>
      </c>
      <c r="DG3" s="372" t="s">
        <v>3</v>
      </c>
      <c r="DH3" s="7" t="s">
        <v>6</v>
      </c>
      <c r="DI3" s="8" t="s">
        <v>7</v>
      </c>
      <c r="DJ3" s="8" t="s">
        <v>3</v>
      </c>
      <c r="DK3" s="7" t="s">
        <v>6</v>
      </c>
      <c r="DL3" s="8" t="s">
        <v>7</v>
      </c>
      <c r="DM3" s="9" t="s">
        <v>3</v>
      </c>
      <c r="DN3" s="7" t="s">
        <v>6</v>
      </c>
      <c r="DO3" s="8" t="s">
        <v>7</v>
      </c>
      <c r="DP3" s="9" t="s">
        <v>3</v>
      </c>
      <c r="DQ3" s="372" t="s">
        <v>1</v>
      </c>
      <c r="DR3" s="372" t="s">
        <v>3</v>
      </c>
      <c r="DS3" s="7" t="s">
        <v>6</v>
      </c>
      <c r="DT3" s="8" t="s">
        <v>7</v>
      </c>
      <c r="DU3" s="8" t="s">
        <v>3</v>
      </c>
      <c r="DV3" s="7" t="s">
        <v>6</v>
      </c>
      <c r="DW3" s="8" t="s">
        <v>7</v>
      </c>
      <c r="DX3" s="9" t="s">
        <v>3</v>
      </c>
      <c r="DY3" s="7" t="s">
        <v>6</v>
      </c>
      <c r="DZ3" s="8" t="s">
        <v>7</v>
      </c>
      <c r="EA3" s="9" t="s">
        <v>3</v>
      </c>
      <c r="EB3" s="372" t="s">
        <v>6</v>
      </c>
      <c r="EC3" s="372" t="s">
        <v>3</v>
      </c>
      <c r="ED3" s="7" t="s">
        <v>6</v>
      </c>
      <c r="EE3" s="8" t="s">
        <v>7</v>
      </c>
      <c r="EF3" s="8" t="s">
        <v>3</v>
      </c>
      <c r="EG3" s="7" t="s">
        <v>6</v>
      </c>
      <c r="EH3" s="8" t="s">
        <v>7</v>
      </c>
      <c r="EI3" s="9" t="s">
        <v>3</v>
      </c>
      <c r="EJ3" s="7" t="s">
        <v>6</v>
      </c>
      <c r="EK3" s="8" t="s">
        <v>7</v>
      </c>
      <c r="EL3" s="9" t="s">
        <v>3</v>
      </c>
      <c r="EM3" s="195" t="s">
        <v>6</v>
      </c>
      <c r="EN3" s="356" t="s">
        <v>3</v>
      </c>
    </row>
    <row r="4" spans="1:144">
      <c r="A4" s="17" t="s">
        <v>35</v>
      </c>
      <c r="B4" s="35">
        <v>140</v>
      </c>
      <c r="C4" s="1576">
        <f>(0.925*1000)</f>
        <v>925</v>
      </c>
      <c r="D4" s="1574">
        <f>(2072.42+457.88+3167.1+70.48+56.13+26.18)*A17</f>
        <v>7078.7298999999994</v>
      </c>
      <c r="E4" s="35">
        <v>232</v>
      </c>
      <c r="F4" s="1576">
        <f>0.514*1000</f>
        <v>514</v>
      </c>
      <c r="G4" s="1574">
        <f>(2291.92+499.95+3184.91+77.89+40.15)*A17</f>
        <v>7374.7321999999995</v>
      </c>
      <c r="H4" s="34">
        <v>178</v>
      </c>
      <c r="I4" s="1458">
        <f>1112</f>
        <v>1112</v>
      </c>
      <c r="J4" s="1493">
        <f>(5961.6+31.47+1604.62+685.73)*A17</f>
        <v>10022.938200000001</v>
      </c>
      <c r="K4" s="1632">
        <v>811</v>
      </c>
      <c r="L4" s="1340">
        <v>9695.6695</v>
      </c>
      <c r="M4" s="48">
        <v>7782</v>
      </c>
      <c r="N4" s="48">
        <v>7845</v>
      </c>
      <c r="O4" s="48">
        <v>37316.449999999997</v>
      </c>
      <c r="P4" s="47">
        <v>7405</v>
      </c>
      <c r="Q4" s="48">
        <v>7616</v>
      </c>
      <c r="R4" s="49">
        <v>36611</v>
      </c>
      <c r="S4" s="48">
        <v>5770</v>
      </c>
      <c r="T4" s="48">
        <v>5646</v>
      </c>
      <c r="U4" s="48">
        <v>30811</v>
      </c>
      <c r="V4" s="438">
        <v>6608</v>
      </c>
      <c r="W4" s="117">
        <v>36692</v>
      </c>
      <c r="X4" s="67">
        <v>3800</v>
      </c>
      <c r="Y4" s="48">
        <v>3891</v>
      </c>
      <c r="Z4" s="67">
        <v>16560</v>
      </c>
      <c r="AA4" s="47">
        <v>3771</v>
      </c>
      <c r="AB4" s="48">
        <v>3716</v>
      </c>
      <c r="AC4" s="49">
        <v>16018</v>
      </c>
      <c r="AD4" s="48">
        <v>2256</v>
      </c>
      <c r="AE4" s="48">
        <v>2244</v>
      </c>
      <c r="AF4" s="48">
        <v>12070</v>
      </c>
      <c r="AG4" s="438">
        <f>3017+618</f>
        <v>3635</v>
      </c>
      <c r="AH4" s="117">
        <v>18990.37</v>
      </c>
      <c r="AI4" s="47">
        <v>86498</v>
      </c>
      <c r="AJ4" s="1573">
        <f>1467.7*278</f>
        <v>408020.60000000003</v>
      </c>
      <c r="AK4" s="1460">
        <f>(892157.95+38626.58)</f>
        <v>930784.52999999991</v>
      </c>
      <c r="AL4" s="47">
        <v>68047</v>
      </c>
      <c r="AM4" s="1573">
        <f>1259.7*278</f>
        <v>350196.60000000003</v>
      </c>
      <c r="AN4" s="1460">
        <f>733702.57+29178.05</f>
        <v>762880.62</v>
      </c>
      <c r="AO4" s="48">
        <v>82588</v>
      </c>
      <c r="AP4" s="1573">
        <f>1628.7*278</f>
        <v>452778.60000000003</v>
      </c>
      <c r="AQ4" s="1573">
        <f>931770.62+30839.94</f>
        <v>962610.55999999994</v>
      </c>
      <c r="AR4" s="1596">
        <v>342989</v>
      </c>
      <c r="AS4" s="1286">
        <v>1232192.69</v>
      </c>
      <c r="AT4" s="47">
        <v>143026</v>
      </c>
      <c r="AU4" s="1573">
        <f>2266.3*278</f>
        <v>630031.4</v>
      </c>
      <c r="AV4" s="1460">
        <f>1429065.93+8173.94</f>
        <v>1437239.8699999999</v>
      </c>
      <c r="AW4" s="47">
        <v>106236</v>
      </c>
      <c r="AX4" s="1573">
        <f>2035.7*278</f>
        <v>565924.6</v>
      </c>
      <c r="AY4" s="1460">
        <f>1228245.67+4584.43</f>
        <v>1232830.0999999999</v>
      </c>
      <c r="AZ4" s="48">
        <v>111120</v>
      </c>
      <c r="BA4" s="1573">
        <f>2341.813*278</f>
        <v>651024.01400000008</v>
      </c>
      <c r="BB4" s="1573">
        <f>1376617.03+7464.71</f>
        <v>1384081.74</v>
      </c>
      <c r="BC4" s="1596">
        <v>884431</v>
      </c>
      <c r="BD4" s="1286">
        <v>1945135.68</v>
      </c>
      <c r="BE4" s="370">
        <v>1.8</v>
      </c>
      <c r="BF4" s="1607">
        <v>6</v>
      </c>
      <c r="BG4" s="1247">
        <v>597.33000000000004</v>
      </c>
      <c r="BH4" s="63">
        <v>0.90400000000000003</v>
      </c>
      <c r="BI4" s="1636">
        <v>9</v>
      </c>
      <c r="BJ4" s="1276">
        <v>890.13099999999997</v>
      </c>
      <c r="BK4" s="63">
        <v>0.56000000000000005</v>
      </c>
      <c r="BL4" s="1607">
        <v>12</v>
      </c>
      <c r="BM4" s="1247">
        <v>1257.1679999999999</v>
      </c>
      <c r="BN4" s="1598">
        <v>7</v>
      </c>
      <c r="BO4" s="1247">
        <v>787.17100000000005</v>
      </c>
      <c r="BP4" s="63">
        <v>4.7</v>
      </c>
      <c r="BQ4" s="1604">
        <v>20</v>
      </c>
      <c r="BR4" s="1247">
        <v>1991.11</v>
      </c>
      <c r="BS4" s="63">
        <v>4.8</v>
      </c>
      <c r="BT4" s="1604">
        <f>18+2</f>
        <v>20</v>
      </c>
      <c r="BU4" s="1247">
        <v>2058.94</v>
      </c>
      <c r="BV4" s="69">
        <v>4.2</v>
      </c>
      <c r="BW4" s="1607">
        <v>18</v>
      </c>
      <c r="BX4" s="1247">
        <v>1885.42</v>
      </c>
      <c r="BY4" s="1595">
        <v>39</v>
      </c>
      <c r="BZ4" s="1247">
        <v>4385.67</v>
      </c>
      <c r="CA4" s="75">
        <v>62</v>
      </c>
      <c r="CB4" s="1608">
        <v>301</v>
      </c>
      <c r="CC4" s="1247">
        <v>29966.21</v>
      </c>
      <c r="CD4" s="75">
        <v>80</v>
      </c>
      <c r="CE4" s="1608">
        <f>221+11</f>
        <v>232</v>
      </c>
      <c r="CF4" s="1247">
        <v>23938.560000000001</v>
      </c>
      <c r="CG4" s="75">
        <v>40</v>
      </c>
      <c r="CH4" s="1608">
        <v>168</v>
      </c>
      <c r="CI4" s="1247">
        <v>17600.349999999999</v>
      </c>
      <c r="CJ4" s="1595">
        <v>230</v>
      </c>
      <c r="CK4" s="1247">
        <v>25864.19</v>
      </c>
      <c r="CL4" s="69">
        <v>7.008</v>
      </c>
      <c r="CM4" s="1608">
        <v>50</v>
      </c>
      <c r="CN4" s="1247">
        <v>4977.78</v>
      </c>
      <c r="CO4" s="69">
        <v>13</v>
      </c>
      <c r="CP4" s="1608">
        <v>44</v>
      </c>
      <c r="CQ4" s="1247">
        <v>4963.0320000000002</v>
      </c>
      <c r="CR4" s="69">
        <v>19</v>
      </c>
      <c r="CS4" s="1608">
        <v>46</v>
      </c>
      <c r="CT4" s="1247">
        <v>4819.1440000000002</v>
      </c>
      <c r="CU4" s="1639">
        <v>63</v>
      </c>
      <c r="CV4" s="1276">
        <v>7084.5389999999998</v>
      </c>
      <c r="CW4" s="75">
        <v>38</v>
      </c>
      <c r="CX4" s="1608">
        <v>195</v>
      </c>
      <c r="CY4" s="1247">
        <v>19413.32</v>
      </c>
      <c r="CZ4" s="75">
        <v>28</v>
      </c>
      <c r="DA4" s="1608">
        <v>90</v>
      </c>
      <c r="DB4" s="1247">
        <v>9701.2890000000007</v>
      </c>
      <c r="DC4" s="75">
        <v>33</v>
      </c>
      <c r="DD4" s="1608">
        <f>131+131+101.712</f>
        <v>363.71199999999999</v>
      </c>
      <c r="DE4" s="1247">
        <f>(6403.28+6073.16+4715.37)*A17</f>
        <v>20802.090099999998</v>
      </c>
      <c r="DF4" s="1595">
        <v>181</v>
      </c>
      <c r="DG4" s="1247">
        <v>20353.990000000002</v>
      </c>
      <c r="DH4" s="88">
        <v>3.6</v>
      </c>
      <c r="DI4" s="1640">
        <v>9</v>
      </c>
      <c r="DJ4" s="1247">
        <f>(398.07+381.06+5966.47)*A17</f>
        <v>8162.1760000000004</v>
      </c>
      <c r="DK4" s="88">
        <v>3.03</v>
      </c>
      <c r="DL4" s="1607">
        <f>6+1</f>
        <v>7</v>
      </c>
      <c r="DM4" s="1247">
        <v>719.28</v>
      </c>
      <c r="DN4" s="88">
        <v>0.17</v>
      </c>
      <c r="DO4" s="1607">
        <v>1</v>
      </c>
      <c r="DP4" s="1247">
        <v>104.764</v>
      </c>
      <c r="DQ4" s="1595">
        <v>7</v>
      </c>
      <c r="DR4" s="1247">
        <v>787.17100000000005</v>
      </c>
      <c r="DS4" s="88">
        <v>0.76</v>
      </c>
      <c r="DT4" s="217"/>
      <c r="DU4" s="217"/>
      <c r="DV4" s="88">
        <v>0.90900000000000003</v>
      </c>
      <c r="DW4" s="217"/>
      <c r="DX4" s="218"/>
      <c r="DY4" s="63">
        <v>0.52</v>
      </c>
      <c r="DZ4" s="217"/>
      <c r="EA4" s="218"/>
      <c r="EB4" s="217"/>
      <c r="EC4" s="217"/>
      <c r="ED4" s="69">
        <v>9.9</v>
      </c>
      <c r="EE4" s="217"/>
      <c r="EF4" s="217"/>
      <c r="EG4" s="75">
        <v>12</v>
      </c>
      <c r="EH4" s="217"/>
      <c r="EI4" s="218"/>
      <c r="EJ4" s="75">
        <v>6.04</v>
      </c>
      <c r="EK4" s="217"/>
      <c r="EL4" s="218"/>
      <c r="EM4" s="400"/>
      <c r="EN4" s="401"/>
    </row>
    <row r="5" spans="1:144">
      <c r="A5" s="18" t="s">
        <v>36</v>
      </c>
      <c r="B5" s="37">
        <v>100</v>
      </c>
      <c r="C5" s="1577"/>
      <c r="D5" s="1575"/>
      <c r="E5" s="37">
        <v>89</v>
      </c>
      <c r="F5" s="1577"/>
      <c r="G5" s="1575"/>
      <c r="H5" s="33">
        <v>151</v>
      </c>
      <c r="I5" s="1452"/>
      <c r="J5" s="1494"/>
      <c r="K5" s="1304"/>
      <c r="L5" s="1306"/>
      <c r="M5" s="51">
        <v>5865</v>
      </c>
      <c r="N5" s="51">
        <v>5568</v>
      </c>
      <c r="O5" s="51">
        <v>27029</v>
      </c>
      <c r="P5" s="50">
        <v>3658</v>
      </c>
      <c r="Q5" s="51">
        <v>5780</v>
      </c>
      <c r="R5" s="52">
        <v>28249</v>
      </c>
      <c r="S5" s="51">
        <v>5193</v>
      </c>
      <c r="T5" s="51">
        <v>5000</v>
      </c>
      <c r="U5" s="51">
        <v>27529</v>
      </c>
      <c r="V5" s="445">
        <v>5712</v>
      </c>
      <c r="W5" s="392">
        <v>32081.9</v>
      </c>
      <c r="X5" s="70">
        <v>3035</v>
      </c>
      <c r="Y5" s="51">
        <v>2900</v>
      </c>
      <c r="Z5" s="70">
        <v>12836</v>
      </c>
      <c r="AA5" s="50">
        <v>1941</v>
      </c>
      <c r="AB5" s="51">
        <v>2930</v>
      </c>
      <c r="AC5" s="52">
        <v>13137</v>
      </c>
      <c r="AD5" s="51">
        <v>2063</v>
      </c>
      <c r="AE5" s="51">
        <v>1953</v>
      </c>
      <c r="AF5" s="51">
        <v>10844</v>
      </c>
      <c r="AG5" s="445">
        <f>2668+559</f>
        <v>3227</v>
      </c>
      <c r="AH5" s="392">
        <v>17185.84</v>
      </c>
      <c r="AI5" s="50">
        <v>68409</v>
      </c>
      <c r="AJ5" s="1556"/>
      <c r="AK5" s="1461"/>
      <c r="AL5" s="50">
        <v>28737</v>
      </c>
      <c r="AM5" s="1556"/>
      <c r="AN5" s="1461"/>
      <c r="AO5" s="51">
        <v>88646</v>
      </c>
      <c r="AP5" s="1556"/>
      <c r="AQ5" s="1556"/>
      <c r="AR5" s="1289"/>
      <c r="AS5" s="1317"/>
      <c r="AT5" s="50">
        <v>105697</v>
      </c>
      <c r="AU5" s="1556"/>
      <c r="AV5" s="1461"/>
      <c r="AW5" s="50">
        <v>46622</v>
      </c>
      <c r="AX5" s="1556"/>
      <c r="AY5" s="1461"/>
      <c r="AZ5" s="51">
        <v>118347</v>
      </c>
      <c r="BA5" s="1556"/>
      <c r="BB5" s="1556"/>
      <c r="BC5" s="1289"/>
      <c r="BD5" s="1317"/>
      <c r="BE5" s="371">
        <v>1.0900000000000001</v>
      </c>
      <c r="BF5" s="1605"/>
      <c r="BG5" s="1243"/>
      <c r="BH5" s="64">
        <v>0.62</v>
      </c>
      <c r="BI5" s="1597"/>
      <c r="BJ5" s="1277"/>
      <c r="BK5" s="64">
        <v>3.2</v>
      </c>
      <c r="BL5" s="1605"/>
      <c r="BM5" s="1243"/>
      <c r="BN5" s="1560"/>
      <c r="BO5" s="1389"/>
      <c r="BP5" s="64">
        <v>4.9000000000000004</v>
      </c>
      <c r="BQ5" s="1602"/>
      <c r="BR5" s="1243"/>
      <c r="BS5" s="64">
        <v>2.5</v>
      </c>
      <c r="BT5" s="1602"/>
      <c r="BU5" s="1243"/>
      <c r="BV5" s="72">
        <v>4.9000000000000004</v>
      </c>
      <c r="BW5" s="1605"/>
      <c r="BX5" s="1243"/>
      <c r="BY5" s="1289"/>
      <c r="BZ5" s="1389"/>
      <c r="CA5" s="78">
        <v>51</v>
      </c>
      <c r="CB5" s="1609"/>
      <c r="CC5" s="1243"/>
      <c r="CD5" s="78">
        <v>41</v>
      </c>
      <c r="CE5" s="1609"/>
      <c r="CF5" s="1243"/>
      <c r="CG5" s="78">
        <v>39</v>
      </c>
      <c r="CH5" s="1609"/>
      <c r="CI5" s="1243"/>
      <c r="CJ5" s="1289"/>
      <c r="CK5" s="1389"/>
      <c r="CL5" s="72">
        <v>8.6</v>
      </c>
      <c r="CM5" s="1609"/>
      <c r="CN5" s="1243"/>
      <c r="CO5" s="72">
        <v>9.1</v>
      </c>
      <c r="CP5" s="1609"/>
      <c r="CQ5" s="1243"/>
      <c r="CR5" s="72">
        <v>15</v>
      </c>
      <c r="CS5" s="1609"/>
      <c r="CT5" s="1243"/>
      <c r="CU5" s="1304"/>
      <c r="CV5" s="1388"/>
      <c r="CW5" s="78">
        <v>41</v>
      </c>
      <c r="CX5" s="1609"/>
      <c r="CY5" s="1243"/>
      <c r="CZ5" s="78">
        <v>11</v>
      </c>
      <c r="DA5" s="1609"/>
      <c r="DB5" s="1243"/>
      <c r="DC5" s="78">
        <v>38</v>
      </c>
      <c r="DD5" s="1609"/>
      <c r="DE5" s="1243"/>
      <c r="DF5" s="1289"/>
      <c r="DG5" s="1317"/>
      <c r="DH5" s="89">
        <v>3.05</v>
      </c>
      <c r="DI5" s="1605"/>
      <c r="DJ5" s="1243"/>
      <c r="DK5" s="89">
        <v>1.5</v>
      </c>
      <c r="DL5" s="1605"/>
      <c r="DM5" s="1243"/>
      <c r="DN5" s="89">
        <v>3.9E-2</v>
      </c>
      <c r="DO5" s="1605"/>
      <c r="DP5" s="1243"/>
      <c r="DQ5" s="1289"/>
      <c r="DR5" s="1389"/>
      <c r="DS5" s="89">
        <v>0.63</v>
      </c>
      <c r="DT5" s="183"/>
      <c r="DU5" s="183"/>
      <c r="DV5" s="89">
        <v>0.44</v>
      </c>
      <c r="DW5" s="183"/>
      <c r="DX5" s="182"/>
      <c r="DY5" s="64">
        <v>0.64</v>
      </c>
      <c r="DZ5" s="183"/>
      <c r="EA5" s="182"/>
      <c r="EB5" s="183"/>
      <c r="EC5" s="183"/>
      <c r="ED5" s="72">
        <v>9.4</v>
      </c>
      <c r="EE5" s="183"/>
      <c r="EF5" s="183"/>
      <c r="EG5" s="78">
        <v>6.8</v>
      </c>
      <c r="EH5" s="183"/>
      <c r="EI5" s="182"/>
      <c r="EJ5" s="78">
        <v>6.3</v>
      </c>
      <c r="EK5" s="183"/>
      <c r="EL5" s="182"/>
      <c r="EM5" s="400"/>
      <c r="EN5" s="401"/>
    </row>
    <row r="6" spans="1:144">
      <c r="A6" s="18" t="s">
        <v>37</v>
      </c>
      <c r="B6" s="37">
        <v>104</v>
      </c>
      <c r="C6" s="1577"/>
      <c r="D6" s="1575"/>
      <c r="E6" s="37">
        <v>190</v>
      </c>
      <c r="F6" s="1577"/>
      <c r="G6" s="1575"/>
      <c r="H6" s="33">
        <v>153</v>
      </c>
      <c r="I6" s="1452"/>
      <c r="J6" s="1494"/>
      <c r="K6" s="1304"/>
      <c r="L6" s="1306"/>
      <c r="M6" s="51">
        <v>6793</v>
      </c>
      <c r="N6" s="51">
        <v>6623</v>
      </c>
      <c r="O6" s="51">
        <v>31795</v>
      </c>
      <c r="P6" s="50">
        <v>6133</v>
      </c>
      <c r="Q6" s="51">
        <v>4443</v>
      </c>
      <c r="R6" s="52">
        <v>22161</v>
      </c>
      <c r="S6" s="51">
        <v>3051</v>
      </c>
      <c r="T6" s="51">
        <v>3942</v>
      </c>
      <c r="U6" s="51">
        <v>22152</v>
      </c>
      <c r="V6" s="445">
        <v>526</v>
      </c>
      <c r="W6" s="392">
        <v>29581.32</v>
      </c>
      <c r="X6" s="70">
        <v>3243</v>
      </c>
      <c r="Y6" s="51">
        <v>3228</v>
      </c>
      <c r="Z6" s="70">
        <v>14108</v>
      </c>
      <c r="AA6" s="50">
        <v>2494</v>
      </c>
      <c r="AB6" s="51">
        <v>1712</v>
      </c>
      <c r="AC6" s="52">
        <v>8665</v>
      </c>
      <c r="AD6" s="173">
        <v>1029</v>
      </c>
      <c r="AE6" s="51">
        <v>1369</v>
      </c>
      <c r="AF6" s="51">
        <v>8086</v>
      </c>
      <c r="AG6" s="445">
        <f>2298+486</f>
        <v>2784</v>
      </c>
      <c r="AH6" s="392">
        <v>15245.79</v>
      </c>
      <c r="AI6" s="50">
        <v>57038</v>
      </c>
      <c r="AJ6" s="1556"/>
      <c r="AK6" s="1461"/>
      <c r="AL6" s="50">
        <v>64996</v>
      </c>
      <c r="AM6" s="1556"/>
      <c r="AN6" s="1461"/>
      <c r="AO6" s="51">
        <v>41726</v>
      </c>
      <c r="AP6" s="1556"/>
      <c r="AQ6" s="1556"/>
      <c r="AR6" s="1289"/>
      <c r="AS6" s="1317"/>
      <c r="AT6" s="50">
        <v>82362</v>
      </c>
      <c r="AU6" s="1556"/>
      <c r="AV6" s="1461"/>
      <c r="AW6" s="50">
        <v>109510</v>
      </c>
      <c r="AX6" s="1556"/>
      <c r="AY6" s="1461"/>
      <c r="AZ6" s="51">
        <v>57655</v>
      </c>
      <c r="BA6" s="1556"/>
      <c r="BB6" s="1556"/>
      <c r="BC6" s="1289"/>
      <c r="BD6" s="1317"/>
      <c r="BE6" s="371">
        <v>1.1000000000000001</v>
      </c>
      <c r="BF6" s="1605"/>
      <c r="BG6" s="1243"/>
      <c r="BH6" s="64">
        <v>2.9</v>
      </c>
      <c r="BI6" s="1597"/>
      <c r="BJ6" s="1277"/>
      <c r="BK6" s="64">
        <v>1.3</v>
      </c>
      <c r="BL6" s="1605"/>
      <c r="BM6" s="1243"/>
      <c r="BN6" s="1560"/>
      <c r="BO6" s="1389"/>
      <c r="BP6" s="64">
        <v>4.5999999999999996</v>
      </c>
      <c r="BQ6" s="1602"/>
      <c r="BR6" s="1243"/>
      <c r="BS6" s="64">
        <v>7</v>
      </c>
      <c r="BT6" s="1602"/>
      <c r="BU6" s="1243"/>
      <c r="BV6" s="72">
        <v>3.4</v>
      </c>
      <c r="BW6" s="1605"/>
      <c r="BX6" s="1243"/>
      <c r="BY6" s="1289"/>
      <c r="BZ6" s="1389"/>
      <c r="CA6" s="78">
        <v>71</v>
      </c>
      <c r="CB6" s="1609"/>
      <c r="CC6" s="1243"/>
      <c r="CD6" s="78">
        <v>54</v>
      </c>
      <c r="CE6" s="1609"/>
      <c r="CF6" s="1243"/>
      <c r="CG6" s="78">
        <v>18</v>
      </c>
      <c r="CH6" s="1609"/>
      <c r="CI6" s="1243"/>
      <c r="CJ6" s="1289"/>
      <c r="CK6" s="1389"/>
      <c r="CL6" s="72">
        <v>16</v>
      </c>
      <c r="CM6" s="1609"/>
      <c r="CN6" s="1243"/>
      <c r="CO6" s="72">
        <v>12</v>
      </c>
      <c r="CP6" s="1609"/>
      <c r="CQ6" s="1243"/>
      <c r="CR6" s="72">
        <v>2.2000000000000002</v>
      </c>
      <c r="CS6" s="1609"/>
      <c r="CT6" s="1243"/>
      <c r="CU6" s="1304"/>
      <c r="CV6" s="1388"/>
      <c r="CW6" s="78">
        <v>52</v>
      </c>
      <c r="CX6" s="1609"/>
      <c r="CY6" s="1243"/>
      <c r="CZ6" s="78">
        <v>31</v>
      </c>
      <c r="DA6" s="1609"/>
      <c r="DB6" s="1243"/>
      <c r="DC6" s="78">
        <v>35</v>
      </c>
      <c r="DD6" s="1609"/>
      <c r="DE6" s="1243"/>
      <c r="DF6" s="1289"/>
      <c r="DG6" s="1317"/>
      <c r="DH6" s="89">
        <v>2.2999999999999998</v>
      </c>
      <c r="DI6" s="1605"/>
      <c r="DJ6" s="1243"/>
      <c r="DK6" s="89">
        <v>1.3</v>
      </c>
      <c r="DL6" s="1605"/>
      <c r="DM6" s="1243"/>
      <c r="DN6" s="89">
        <v>1.2999999999999999E-2</v>
      </c>
      <c r="DO6" s="1605"/>
      <c r="DP6" s="1243"/>
      <c r="DQ6" s="1289"/>
      <c r="DR6" s="1389"/>
      <c r="DS6" s="89">
        <v>0.72</v>
      </c>
      <c r="DT6" s="183"/>
      <c r="DU6" s="183"/>
      <c r="DV6" s="89">
        <v>0.80100000000000005</v>
      </c>
      <c r="DW6" s="183"/>
      <c r="DX6" s="182"/>
      <c r="DY6" s="64">
        <v>0.53</v>
      </c>
      <c r="DZ6" s="183"/>
      <c r="EA6" s="182"/>
      <c r="EB6" s="183"/>
      <c r="EC6" s="183"/>
      <c r="ED6" s="72">
        <v>14</v>
      </c>
      <c r="EE6" s="183"/>
      <c r="EF6" s="183"/>
      <c r="EG6" s="78">
        <v>6.8</v>
      </c>
      <c r="EH6" s="183"/>
      <c r="EI6" s="182"/>
      <c r="EJ6" s="78">
        <v>2.7</v>
      </c>
      <c r="EK6" s="183"/>
      <c r="EL6" s="182"/>
      <c r="EM6" s="400"/>
      <c r="EN6" s="401"/>
    </row>
    <row r="7" spans="1:144">
      <c r="A7" s="18" t="s">
        <v>38</v>
      </c>
      <c r="B7" s="37">
        <v>122</v>
      </c>
      <c r="C7" s="1577"/>
      <c r="D7" s="1575"/>
      <c r="E7" s="37">
        <v>90</v>
      </c>
      <c r="F7" s="1577"/>
      <c r="G7" s="1575"/>
      <c r="H7" s="33">
        <v>133</v>
      </c>
      <c r="I7" s="1452"/>
      <c r="J7" s="1494"/>
      <c r="K7" s="1304"/>
      <c r="L7" s="1306"/>
      <c r="M7" s="51">
        <v>5427</v>
      </c>
      <c r="N7" s="51">
        <v>5955</v>
      </c>
      <c r="O7" s="51">
        <v>28777</v>
      </c>
      <c r="P7" s="50">
        <v>2369</v>
      </c>
      <c r="Q7" s="51">
        <v>2515</v>
      </c>
      <c r="R7" s="52">
        <v>13380</v>
      </c>
      <c r="S7" s="51">
        <v>4211</v>
      </c>
      <c r="T7" s="51">
        <v>4235</v>
      </c>
      <c r="U7" s="51">
        <v>23641</v>
      </c>
      <c r="V7" s="445">
        <v>4828</v>
      </c>
      <c r="W7" s="392">
        <v>27533.49</v>
      </c>
      <c r="X7" s="70">
        <v>922</v>
      </c>
      <c r="Y7" s="51">
        <v>2553</v>
      </c>
      <c r="Z7" s="70">
        <v>11616</v>
      </c>
      <c r="AA7" s="50">
        <v>874</v>
      </c>
      <c r="AB7" s="51">
        <v>926</v>
      </c>
      <c r="AC7" s="52">
        <v>5596</v>
      </c>
      <c r="AD7" s="51">
        <v>1644</v>
      </c>
      <c r="AE7" s="51">
        <v>1658</v>
      </c>
      <c r="AF7" s="51">
        <v>9414</v>
      </c>
      <c r="AG7" s="445">
        <f>2025+425</f>
        <v>2450</v>
      </c>
      <c r="AH7" s="392">
        <f>13795.95</f>
        <v>13795.95</v>
      </c>
      <c r="AI7" s="50">
        <v>24888</v>
      </c>
      <c r="AJ7" s="1556"/>
      <c r="AK7" s="1461"/>
      <c r="AL7" s="50">
        <v>14675</v>
      </c>
      <c r="AM7" s="1556"/>
      <c r="AN7" s="1461"/>
      <c r="AO7" s="51">
        <v>37610</v>
      </c>
      <c r="AP7" s="1556"/>
      <c r="AQ7" s="1556"/>
      <c r="AR7" s="1289"/>
      <c r="AS7" s="1317"/>
      <c r="AT7" s="50">
        <v>44897</v>
      </c>
      <c r="AU7" s="1556"/>
      <c r="AV7" s="1461"/>
      <c r="AW7" s="50">
        <v>32314</v>
      </c>
      <c r="AX7" s="1556"/>
      <c r="AY7" s="1461"/>
      <c r="AZ7" s="51">
        <v>57446</v>
      </c>
      <c r="BA7" s="1556"/>
      <c r="BB7" s="1556"/>
      <c r="BC7" s="1289"/>
      <c r="BD7" s="1317"/>
      <c r="BE7" s="371">
        <v>1.7</v>
      </c>
      <c r="BF7" s="1605"/>
      <c r="BG7" s="1243"/>
      <c r="BH7" s="64">
        <v>0.32</v>
      </c>
      <c r="BI7" s="1597"/>
      <c r="BJ7" s="1277"/>
      <c r="BK7" s="64">
        <v>8.3000000000000007</v>
      </c>
      <c r="BL7" s="1605"/>
      <c r="BM7" s="1243"/>
      <c r="BN7" s="1560"/>
      <c r="BO7" s="1389"/>
      <c r="BP7" s="64">
        <v>4.3</v>
      </c>
      <c r="BQ7" s="1602"/>
      <c r="BR7" s="1243"/>
      <c r="BS7" s="64">
        <v>5.4</v>
      </c>
      <c r="BT7" s="1602"/>
      <c r="BU7" s="1243"/>
      <c r="BV7" s="72">
        <v>6.3</v>
      </c>
      <c r="BW7" s="1605"/>
      <c r="BX7" s="1243"/>
      <c r="BY7" s="1289"/>
      <c r="BZ7" s="1389"/>
      <c r="CA7" s="78">
        <v>60</v>
      </c>
      <c r="CB7" s="1609"/>
      <c r="CC7" s="1243"/>
      <c r="CD7" s="78">
        <v>8.5</v>
      </c>
      <c r="CE7" s="1609"/>
      <c r="CF7" s="1243"/>
      <c r="CG7" s="78">
        <v>27</v>
      </c>
      <c r="CH7" s="1609"/>
      <c r="CI7" s="1243"/>
      <c r="CJ7" s="1289"/>
      <c r="CK7" s="1389"/>
      <c r="CL7" s="72">
        <v>10</v>
      </c>
      <c r="CM7" s="1609"/>
      <c r="CN7" s="1243"/>
      <c r="CO7" s="72">
        <v>3.04</v>
      </c>
      <c r="CP7" s="1609"/>
      <c r="CQ7" s="1243"/>
      <c r="CR7" s="72">
        <v>7.2</v>
      </c>
      <c r="CS7" s="1609"/>
      <c r="CT7" s="1243"/>
      <c r="CU7" s="1304"/>
      <c r="CV7" s="1388"/>
      <c r="CW7" s="78">
        <v>52</v>
      </c>
      <c r="CX7" s="1609"/>
      <c r="CY7" s="1243"/>
      <c r="CZ7" s="78">
        <v>20</v>
      </c>
      <c r="DA7" s="1609"/>
      <c r="DB7" s="1243"/>
      <c r="DC7" s="78">
        <v>47</v>
      </c>
      <c r="DD7" s="1609"/>
      <c r="DE7" s="1243"/>
      <c r="DF7" s="1289"/>
      <c r="DG7" s="1317"/>
      <c r="DH7" s="89">
        <v>0.88</v>
      </c>
      <c r="DI7" s="1605"/>
      <c r="DJ7" s="1243"/>
      <c r="DK7" s="90">
        <v>5.0099999999999999E-2</v>
      </c>
      <c r="DL7" s="1605"/>
      <c r="DM7" s="1243"/>
      <c r="DN7" s="89">
        <v>0.2</v>
      </c>
      <c r="DO7" s="1605"/>
      <c r="DP7" s="1243"/>
      <c r="DQ7" s="1289"/>
      <c r="DR7" s="1389"/>
      <c r="DS7" s="89">
        <v>0.72</v>
      </c>
      <c r="DT7" s="183"/>
      <c r="DU7" s="183"/>
      <c r="DV7" s="89">
        <v>1.6</v>
      </c>
      <c r="DW7" s="183"/>
      <c r="DX7" s="182"/>
      <c r="DY7" s="89">
        <v>0.50900000000000001</v>
      </c>
      <c r="DZ7" s="183"/>
      <c r="EA7" s="182"/>
      <c r="EB7" s="183"/>
      <c r="EC7" s="183"/>
      <c r="ED7" s="72">
        <v>9.1999999999999993</v>
      </c>
      <c r="EE7" s="183"/>
      <c r="EF7" s="183"/>
      <c r="EG7" s="78">
        <v>4</v>
      </c>
      <c r="EH7" s="183"/>
      <c r="EI7" s="182"/>
      <c r="EJ7" s="78">
        <v>4.3</v>
      </c>
      <c r="EK7" s="183"/>
      <c r="EL7" s="182"/>
      <c r="EM7" s="400"/>
      <c r="EN7" s="401"/>
    </row>
    <row r="8" spans="1:144">
      <c r="A8" s="18" t="s">
        <v>39</v>
      </c>
      <c r="B8" s="37">
        <v>104</v>
      </c>
      <c r="C8" s="1577"/>
      <c r="D8" s="1575"/>
      <c r="E8" s="37">
        <v>98</v>
      </c>
      <c r="F8" s="1577"/>
      <c r="G8" s="1575"/>
      <c r="H8" s="33">
        <v>112</v>
      </c>
      <c r="I8" s="1452"/>
      <c r="J8" s="1494"/>
      <c r="K8" s="1304"/>
      <c r="L8" s="1306"/>
      <c r="M8" s="51">
        <v>6073</v>
      </c>
      <c r="N8" s="51">
        <v>2625</v>
      </c>
      <c r="O8" s="51">
        <v>11971</v>
      </c>
      <c r="P8" s="50">
        <v>3472</v>
      </c>
      <c r="Q8" s="51">
        <v>2870</v>
      </c>
      <c r="R8" s="52">
        <v>14997</v>
      </c>
      <c r="S8" s="51">
        <v>5550</v>
      </c>
      <c r="T8" s="51">
        <v>5381</v>
      </c>
      <c r="U8" s="51">
        <v>29465</v>
      </c>
      <c r="V8" s="445">
        <v>5055</v>
      </c>
      <c r="W8" s="392">
        <v>28701.48</v>
      </c>
      <c r="X8" s="70">
        <v>3882</v>
      </c>
      <c r="Y8" s="51">
        <v>2625</v>
      </c>
      <c r="Z8" s="70">
        <v>11971</v>
      </c>
      <c r="AA8" s="50">
        <v>1342</v>
      </c>
      <c r="AB8" s="51">
        <v>1126</v>
      </c>
      <c r="AC8" s="52">
        <v>6377</v>
      </c>
      <c r="AD8" s="51">
        <v>2397</v>
      </c>
      <c r="AE8" s="51">
        <v>2334</v>
      </c>
      <c r="AF8" s="51">
        <v>12411</v>
      </c>
      <c r="AG8" s="445">
        <f>1810+378</f>
        <v>2188</v>
      </c>
      <c r="AH8" s="392">
        <v>12656.78</v>
      </c>
      <c r="AI8" s="50">
        <v>19012</v>
      </c>
      <c r="AJ8" s="1556"/>
      <c r="AK8" s="1461"/>
      <c r="AL8" s="50">
        <v>9273</v>
      </c>
      <c r="AM8" s="1556"/>
      <c r="AN8" s="1461"/>
      <c r="AO8" s="51">
        <v>14551</v>
      </c>
      <c r="AP8" s="1556"/>
      <c r="AQ8" s="1556"/>
      <c r="AR8" s="1289"/>
      <c r="AS8" s="1317"/>
      <c r="AT8" s="50">
        <v>33511</v>
      </c>
      <c r="AU8" s="1556"/>
      <c r="AV8" s="1461"/>
      <c r="AW8" s="50">
        <v>23844</v>
      </c>
      <c r="AX8" s="1556"/>
      <c r="AY8" s="1461"/>
      <c r="AZ8" s="51">
        <v>31869</v>
      </c>
      <c r="BA8" s="1556"/>
      <c r="BB8" s="1556"/>
      <c r="BC8" s="1289"/>
      <c r="BD8" s="1317"/>
      <c r="BE8" s="371">
        <v>2.9</v>
      </c>
      <c r="BF8" s="1605"/>
      <c r="BG8" s="1243"/>
      <c r="BH8" s="64">
        <v>0.69</v>
      </c>
      <c r="BI8" s="1605">
        <v>22</v>
      </c>
      <c r="BJ8" s="1243">
        <v>2175.8220000000001</v>
      </c>
      <c r="BK8" s="64">
        <v>8.3000000000000007</v>
      </c>
      <c r="BL8" s="1605"/>
      <c r="BM8" s="1243"/>
      <c r="BN8" s="1560"/>
      <c r="BO8" s="1389"/>
      <c r="BP8" s="64">
        <v>4.5</v>
      </c>
      <c r="BQ8" s="1602"/>
      <c r="BR8" s="1243"/>
      <c r="BS8" s="64">
        <v>5.0999999999999996</v>
      </c>
      <c r="BT8" s="1602"/>
      <c r="BU8" s="1243"/>
      <c r="BV8" s="72">
        <v>7.4</v>
      </c>
      <c r="BW8" s="1605"/>
      <c r="BX8" s="1243"/>
      <c r="BY8" s="1289"/>
      <c r="BZ8" s="1389"/>
      <c r="CA8" s="78">
        <v>73</v>
      </c>
      <c r="CB8" s="1609"/>
      <c r="CC8" s="1243"/>
      <c r="CD8" s="78">
        <v>21</v>
      </c>
      <c r="CE8" s="1609"/>
      <c r="CF8" s="1243"/>
      <c r="CG8" s="78">
        <v>55</v>
      </c>
      <c r="CH8" s="1609"/>
      <c r="CI8" s="1243"/>
      <c r="CJ8" s="1289"/>
      <c r="CK8" s="1389"/>
      <c r="CL8" s="72">
        <v>17</v>
      </c>
      <c r="CM8" s="1609"/>
      <c r="CN8" s="1243"/>
      <c r="CO8" s="72">
        <v>5.9</v>
      </c>
      <c r="CP8" s="1609"/>
      <c r="CQ8" s="1243"/>
      <c r="CR8" s="72">
        <v>17</v>
      </c>
      <c r="CS8" s="1609"/>
      <c r="CT8" s="1243"/>
      <c r="CU8" s="1304"/>
      <c r="CV8" s="1388"/>
      <c r="CW8" s="78">
        <v>38</v>
      </c>
      <c r="CX8" s="1609"/>
      <c r="CY8" s="1243"/>
      <c r="CZ8" s="78">
        <v>23</v>
      </c>
      <c r="DA8" s="1609"/>
      <c r="DB8" s="1243"/>
      <c r="DC8" s="78">
        <v>68</v>
      </c>
      <c r="DD8" s="1609"/>
      <c r="DE8" s="1243"/>
      <c r="DF8" s="1289"/>
      <c r="DG8" s="1317"/>
      <c r="DH8" s="89">
        <v>1.5</v>
      </c>
      <c r="DI8" s="1605"/>
      <c r="DJ8" s="1243"/>
      <c r="DK8" s="89">
        <v>5.6000000000000001E-2</v>
      </c>
      <c r="DL8" s="1605"/>
      <c r="DM8" s="1243"/>
      <c r="DN8" s="89">
        <v>1.9</v>
      </c>
      <c r="DO8" s="1605"/>
      <c r="DP8" s="1243"/>
      <c r="DQ8" s="1289"/>
      <c r="DR8" s="1389"/>
      <c r="DS8" s="89">
        <v>0.82</v>
      </c>
      <c r="DT8" s="183"/>
      <c r="DU8" s="183"/>
      <c r="DV8" s="89">
        <v>0.87</v>
      </c>
      <c r="DW8" s="183"/>
      <c r="DX8" s="182"/>
      <c r="DY8" s="64">
        <v>0.55000000000000004</v>
      </c>
      <c r="DZ8" s="183"/>
      <c r="EA8" s="182"/>
      <c r="EB8" s="183"/>
      <c r="EC8" s="183"/>
      <c r="ED8" s="72">
        <v>11</v>
      </c>
      <c r="EE8" s="183"/>
      <c r="EF8" s="183"/>
      <c r="EG8" s="78">
        <v>0.87</v>
      </c>
      <c r="EH8" s="183"/>
      <c r="EI8" s="182"/>
      <c r="EJ8" s="78">
        <v>7.8</v>
      </c>
      <c r="EK8" s="183"/>
      <c r="EL8" s="182"/>
      <c r="EM8" s="400"/>
      <c r="EN8" s="401"/>
    </row>
    <row r="9" spans="1:144">
      <c r="A9" s="18" t="s">
        <v>40</v>
      </c>
      <c r="B9" s="37">
        <v>96</v>
      </c>
      <c r="C9" s="1577"/>
      <c r="D9" s="1575"/>
      <c r="E9" s="37">
        <v>65</v>
      </c>
      <c r="F9" s="1577"/>
      <c r="G9" s="1575"/>
      <c r="H9" s="33">
        <v>76</v>
      </c>
      <c r="I9" s="1452"/>
      <c r="J9" s="1494"/>
      <c r="K9" s="1304"/>
      <c r="L9" s="1306"/>
      <c r="M9" s="51">
        <v>4547</v>
      </c>
      <c r="N9" s="51">
        <v>4867</v>
      </c>
      <c r="O9" s="51">
        <v>23862</v>
      </c>
      <c r="P9" s="50">
        <v>3153</v>
      </c>
      <c r="Q9" s="51">
        <v>3722</v>
      </c>
      <c r="R9" s="52">
        <v>18877</v>
      </c>
      <c r="S9" s="51">
        <v>4796</v>
      </c>
      <c r="T9" s="51">
        <v>4896</v>
      </c>
      <c r="U9" s="51">
        <v>27000</v>
      </c>
      <c r="V9" s="445">
        <v>4724</v>
      </c>
      <c r="W9" s="392">
        <v>26998.39</v>
      </c>
      <c r="X9" s="70">
        <v>2169</v>
      </c>
      <c r="Y9" s="51">
        <v>1934</v>
      </c>
      <c r="Z9" s="70">
        <v>9025</v>
      </c>
      <c r="AA9" s="50">
        <v>1261</v>
      </c>
      <c r="AB9" s="51">
        <v>1464</v>
      </c>
      <c r="AC9" s="52">
        <v>7788</v>
      </c>
      <c r="AD9" s="51">
        <v>1949</v>
      </c>
      <c r="AE9" s="51">
        <v>1976</v>
      </c>
      <c r="AF9" s="51">
        <v>10869</v>
      </c>
      <c r="AG9" s="445">
        <f>1478+365</f>
        <v>1843</v>
      </c>
      <c r="AH9" s="392">
        <v>11051.43</v>
      </c>
      <c r="AI9" s="50">
        <v>3783</v>
      </c>
      <c r="AJ9" s="1556"/>
      <c r="AK9" s="1461"/>
      <c r="AL9" s="50">
        <v>663</v>
      </c>
      <c r="AM9" s="1556"/>
      <c r="AN9" s="1461"/>
      <c r="AO9" s="51">
        <v>986</v>
      </c>
      <c r="AP9" s="1556"/>
      <c r="AQ9" s="1556"/>
      <c r="AR9" s="1289"/>
      <c r="AS9" s="1317"/>
      <c r="AT9" s="50">
        <v>5473</v>
      </c>
      <c r="AU9" s="1556"/>
      <c r="AV9" s="1461"/>
      <c r="AW9" s="50">
        <v>437</v>
      </c>
      <c r="AX9" s="1556"/>
      <c r="AY9" s="1461"/>
      <c r="AZ9" s="51">
        <v>950</v>
      </c>
      <c r="BA9" s="1556"/>
      <c r="BB9" s="1556"/>
      <c r="BC9" s="1289"/>
      <c r="BD9" s="1317"/>
      <c r="BE9" s="371">
        <v>1.06</v>
      </c>
      <c r="BF9" s="1597">
        <v>17</v>
      </c>
      <c r="BG9" s="1277">
        <v>1692.44</v>
      </c>
      <c r="BH9" s="64">
        <v>0.80200000000000005</v>
      </c>
      <c r="BI9" s="1605"/>
      <c r="BJ9" s="1243"/>
      <c r="BK9" s="64">
        <v>1.8</v>
      </c>
      <c r="BL9" s="1597">
        <v>14</v>
      </c>
      <c r="BM9" s="1277">
        <v>1466.6959999999999</v>
      </c>
      <c r="BN9" s="1591">
        <v>11</v>
      </c>
      <c r="BO9" s="1566">
        <v>1236.98</v>
      </c>
      <c r="BP9" s="64">
        <v>4.3</v>
      </c>
      <c r="BQ9" s="1602">
        <v>35</v>
      </c>
      <c r="BR9" s="1243">
        <v>3484.44</v>
      </c>
      <c r="BS9" s="64">
        <v>2.8</v>
      </c>
      <c r="BT9" s="1602">
        <v>33</v>
      </c>
      <c r="BU9" s="1243">
        <v>3263.73</v>
      </c>
      <c r="BV9" s="72">
        <v>5.4</v>
      </c>
      <c r="BW9" s="1599">
        <v>73</v>
      </c>
      <c r="BX9" s="1566">
        <v>7647.77</v>
      </c>
      <c r="BY9" s="1594">
        <v>45</v>
      </c>
      <c r="BZ9" s="1277">
        <v>5060.38</v>
      </c>
      <c r="CA9" s="78">
        <v>62</v>
      </c>
      <c r="CB9" s="1609">
        <v>410</v>
      </c>
      <c r="CC9" s="1243">
        <v>40817.760000000002</v>
      </c>
      <c r="CD9" s="78">
        <v>30</v>
      </c>
      <c r="CE9" s="1609">
        <f>1+313</f>
        <v>314</v>
      </c>
      <c r="CF9" s="1243">
        <v>31054.91</v>
      </c>
      <c r="CG9" s="78">
        <v>65</v>
      </c>
      <c r="CH9" s="1637">
        <v>429</v>
      </c>
      <c r="CI9" s="1566">
        <v>44943.76</v>
      </c>
      <c r="CJ9" s="1594">
        <v>428</v>
      </c>
      <c r="CK9" s="1277">
        <v>48129.88</v>
      </c>
      <c r="CL9" s="72">
        <v>13</v>
      </c>
      <c r="CM9" s="1609">
        <v>86</v>
      </c>
      <c r="CN9" s="1243">
        <v>8561.7729999999992</v>
      </c>
      <c r="CO9" s="72">
        <v>8.3000000000000007</v>
      </c>
      <c r="CP9" s="1609">
        <f>151+25</f>
        <v>176</v>
      </c>
      <c r="CQ9" s="1243">
        <v>17406.576000000001</v>
      </c>
      <c r="CR9" s="72">
        <v>18</v>
      </c>
      <c r="CS9" s="1638">
        <v>117</v>
      </c>
      <c r="CT9" s="1277">
        <v>12257.39</v>
      </c>
      <c r="CU9" s="1304">
        <v>140</v>
      </c>
      <c r="CV9" s="1277">
        <v>15743.42</v>
      </c>
      <c r="CW9" s="78">
        <v>32</v>
      </c>
      <c r="CX9" s="1609">
        <f>165+4</f>
        <v>169</v>
      </c>
      <c r="CY9" s="1243">
        <v>16426.66</v>
      </c>
      <c r="CZ9" s="78">
        <v>22</v>
      </c>
      <c r="DA9" s="1609">
        <f>4+245</f>
        <v>249</v>
      </c>
      <c r="DB9" s="1243">
        <v>24626.348999999998</v>
      </c>
      <c r="DC9" s="78">
        <v>76</v>
      </c>
      <c r="DD9" s="1637">
        <v>336</v>
      </c>
      <c r="DE9" s="1566">
        <v>3520.7</v>
      </c>
      <c r="DF9" s="1594">
        <v>153</v>
      </c>
      <c r="DG9" s="1277">
        <v>17205.310000000001</v>
      </c>
      <c r="DH9" s="89">
        <v>1.2</v>
      </c>
      <c r="DI9" s="1605">
        <v>12</v>
      </c>
      <c r="DJ9" s="1243">
        <v>1194.6890000000001</v>
      </c>
      <c r="DK9" s="89">
        <v>5.0000000000000001E-3</v>
      </c>
      <c r="DL9" s="1605">
        <v>2</v>
      </c>
      <c r="DM9" s="1243">
        <v>197.80199999999999</v>
      </c>
      <c r="DN9" s="89">
        <v>2.2000000000000002</v>
      </c>
      <c r="DO9" s="1641">
        <v>13</v>
      </c>
      <c r="DP9" s="1643">
        <v>1361.932</v>
      </c>
      <c r="DQ9" s="1589">
        <v>12</v>
      </c>
      <c r="DR9" s="1434">
        <v>1349.43</v>
      </c>
      <c r="DS9" s="89">
        <v>0.62</v>
      </c>
      <c r="DT9" s="183"/>
      <c r="DU9" s="183"/>
      <c r="DV9" s="89">
        <v>0.42</v>
      </c>
      <c r="DW9" s="183"/>
      <c r="DX9" s="182"/>
      <c r="DY9" s="64">
        <v>0.53</v>
      </c>
      <c r="DZ9" s="183"/>
      <c r="EA9" s="182"/>
      <c r="EB9" s="183"/>
      <c r="EC9" s="183"/>
      <c r="ED9" s="72">
        <v>8.1999999999999993</v>
      </c>
      <c r="EE9" s="183"/>
      <c r="EF9" s="183"/>
      <c r="EG9" s="78">
        <v>1.4</v>
      </c>
      <c r="EH9" s="183"/>
      <c r="EI9" s="182"/>
      <c r="EJ9" s="78">
        <v>7.06</v>
      </c>
      <c r="EK9" s="183"/>
      <c r="EL9" s="182"/>
      <c r="EM9" s="400"/>
      <c r="EN9" s="401"/>
    </row>
    <row r="10" spans="1:144">
      <c r="A10" s="18" t="s">
        <v>41</v>
      </c>
      <c r="B10" s="37">
        <v>97</v>
      </c>
      <c r="C10" s="1577"/>
      <c r="D10" s="1575"/>
      <c r="E10" s="37">
        <v>65</v>
      </c>
      <c r="F10" s="1577"/>
      <c r="G10" s="1575"/>
      <c r="H10" s="33">
        <v>76</v>
      </c>
      <c r="I10" s="1452"/>
      <c r="J10" s="1494"/>
      <c r="K10" s="1304"/>
      <c r="L10" s="1306"/>
      <c r="M10" s="51">
        <v>1141</v>
      </c>
      <c r="N10" s="51">
        <v>2175</v>
      </c>
      <c r="O10" s="51">
        <v>11699</v>
      </c>
      <c r="P10" s="50">
        <v>2359</v>
      </c>
      <c r="Q10" s="51">
        <v>1873</v>
      </c>
      <c r="R10" s="52">
        <v>10457</v>
      </c>
      <c r="S10" s="51">
        <v>998</v>
      </c>
      <c r="T10" s="51">
        <v>2027</v>
      </c>
      <c r="U10" s="51">
        <v>12421</v>
      </c>
      <c r="V10" s="445">
        <v>1937</v>
      </c>
      <c r="W10" s="392">
        <v>12658.57</v>
      </c>
      <c r="X10" s="70">
        <v>1311</v>
      </c>
      <c r="Y10" s="51">
        <v>1367</v>
      </c>
      <c r="Z10" s="70">
        <v>7048</v>
      </c>
      <c r="AA10" s="50">
        <v>813</v>
      </c>
      <c r="AB10" s="51">
        <v>1012</v>
      </c>
      <c r="AC10" s="52">
        <v>5981</v>
      </c>
      <c r="AD10" s="51">
        <v>769</v>
      </c>
      <c r="AE10" s="51">
        <v>1062</v>
      </c>
      <c r="AF10" s="51">
        <v>6659</v>
      </c>
      <c r="AG10" s="445">
        <f>621+364</f>
        <v>985</v>
      </c>
      <c r="AH10" s="392">
        <v>6991.42</v>
      </c>
      <c r="AI10" s="50">
        <v>650</v>
      </c>
      <c r="AJ10" s="1556"/>
      <c r="AK10" s="1461"/>
      <c r="AL10" s="50">
        <v>686</v>
      </c>
      <c r="AM10" s="1556"/>
      <c r="AN10" s="1461"/>
      <c r="AO10" s="51">
        <v>515</v>
      </c>
      <c r="AP10" s="1556"/>
      <c r="AQ10" s="1556"/>
      <c r="AR10" s="1289"/>
      <c r="AS10" s="1317"/>
      <c r="AT10" s="50">
        <v>288</v>
      </c>
      <c r="AU10" s="1556"/>
      <c r="AV10" s="1461"/>
      <c r="AW10" s="50">
        <v>85</v>
      </c>
      <c r="AX10" s="1556"/>
      <c r="AY10" s="1461"/>
      <c r="AZ10" s="51">
        <v>456</v>
      </c>
      <c r="BA10" s="1556"/>
      <c r="BB10" s="1556"/>
      <c r="BC10" s="1289"/>
      <c r="BD10" s="1317"/>
      <c r="BE10" s="371">
        <v>2.2999999999999998</v>
      </c>
      <c r="BF10" s="1597"/>
      <c r="BG10" s="1277"/>
      <c r="BH10" s="64">
        <v>0.73</v>
      </c>
      <c r="BI10" s="1605"/>
      <c r="BJ10" s="1243"/>
      <c r="BK10" s="64">
        <v>0.25</v>
      </c>
      <c r="BL10" s="1364"/>
      <c r="BM10" s="1389"/>
      <c r="BN10" s="1376"/>
      <c r="BO10" s="1378"/>
      <c r="BP10" s="64">
        <v>3.7</v>
      </c>
      <c r="BQ10" s="1602"/>
      <c r="BR10" s="1243"/>
      <c r="BS10" s="64">
        <v>0.82</v>
      </c>
      <c r="BT10" s="1602"/>
      <c r="BU10" s="1243"/>
      <c r="BV10" s="72">
        <v>3.2</v>
      </c>
      <c r="BW10" s="1600"/>
      <c r="BX10" s="1611"/>
      <c r="BY10" s="1304"/>
      <c r="BZ10" s="1306"/>
      <c r="CA10" s="78">
        <v>41</v>
      </c>
      <c r="CB10" s="1609"/>
      <c r="CC10" s="1243"/>
      <c r="CD10" s="72">
        <v>8.4</v>
      </c>
      <c r="CE10" s="1609"/>
      <c r="CF10" s="1243"/>
      <c r="CG10" s="72">
        <v>8.4</v>
      </c>
      <c r="CH10" s="1600"/>
      <c r="CI10" s="1611"/>
      <c r="CJ10" s="1304"/>
      <c r="CK10" s="1306"/>
      <c r="CL10" s="72">
        <v>1.3</v>
      </c>
      <c r="CM10" s="1609"/>
      <c r="CN10" s="1243"/>
      <c r="CO10" s="72">
        <v>1.9</v>
      </c>
      <c r="CP10" s="1609"/>
      <c r="CQ10" s="1243"/>
      <c r="CR10" s="72">
        <v>1.2</v>
      </c>
      <c r="CS10" s="1338"/>
      <c r="CT10" s="1306"/>
      <c r="CU10" s="1304"/>
      <c r="CV10" s="1306"/>
      <c r="CW10" s="78">
        <v>13</v>
      </c>
      <c r="CX10" s="1609"/>
      <c r="CY10" s="1243"/>
      <c r="CZ10" s="78">
        <v>15</v>
      </c>
      <c r="DA10" s="1609"/>
      <c r="DB10" s="1243"/>
      <c r="DC10" s="78">
        <v>43</v>
      </c>
      <c r="DD10" s="1600"/>
      <c r="DE10" s="1378"/>
      <c r="DF10" s="1304"/>
      <c r="DG10" s="1306"/>
      <c r="DH10" s="89">
        <v>0.10299999999999999</v>
      </c>
      <c r="DI10" s="1605"/>
      <c r="DJ10" s="1243"/>
      <c r="DK10" s="89">
        <v>2.1999999999999999E-2</v>
      </c>
      <c r="DL10" s="1605"/>
      <c r="DM10" s="1243"/>
      <c r="DN10" s="90">
        <v>6.1000000000000004E-3</v>
      </c>
      <c r="DO10" s="1641"/>
      <c r="DP10" s="1643"/>
      <c r="DQ10" s="1395"/>
      <c r="DR10" s="1398"/>
      <c r="DS10" s="89">
        <v>0.34</v>
      </c>
      <c r="DT10" s="183"/>
      <c r="DU10" s="183"/>
      <c r="DV10" s="90">
        <v>1.4E-3</v>
      </c>
      <c r="DW10" s="183"/>
      <c r="DX10" s="182"/>
      <c r="DY10" s="64">
        <v>0.55000000000000004</v>
      </c>
      <c r="DZ10" s="183"/>
      <c r="EA10" s="182"/>
      <c r="EB10" s="183"/>
      <c r="EC10" s="183"/>
      <c r="ED10" s="72">
        <v>2</v>
      </c>
      <c r="EE10" s="183"/>
      <c r="EF10" s="183"/>
      <c r="EG10" s="78">
        <v>0.77</v>
      </c>
      <c r="EH10" s="183"/>
      <c r="EI10" s="182"/>
      <c r="EJ10" s="78">
        <v>1.9</v>
      </c>
      <c r="EK10" s="183"/>
      <c r="EL10" s="182"/>
      <c r="EM10" s="400"/>
      <c r="EN10" s="401"/>
    </row>
    <row r="11" spans="1:144">
      <c r="A11" s="18" t="s">
        <v>42</v>
      </c>
      <c r="B11" s="37">
        <v>107</v>
      </c>
      <c r="C11" s="1577"/>
      <c r="D11" s="1575"/>
      <c r="E11" s="37">
        <v>108</v>
      </c>
      <c r="F11" s="1577"/>
      <c r="G11" s="1575"/>
      <c r="H11" s="33">
        <v>125</v>
      </c>
      <c r="I11" s="1452"/>
      <c r="J11" s="1494"/>
      <c r="K11" s="1304"/>
      <c r="L11" s="1306"/>
      <c r="M11" s="51">
        <v>4369</v>
      </c>
      <c r="N11" s="51">
        <v>2660</v>
      </c>
      <c r="O11" s="51">
        <v>13890</v>
      </c>
      <c r="P11" s="50">
        <v>2420</v>
      </c>
      <c r="Q11" s="51">
        <v>2596</v>
      </c>
      <c r="R11" s="52">
        <v>13749</v>
      </c>
      <c r="S11" s="51">
        <v>4203</v>
      </c>
      <c r="T11" s="51">
        <v>2919</v>
      </c>
      <c r="U11" s="51">
        <v>16954</v>
      </c>
      <c r="V11" s="445">
        <v>2483</v>
      </c>
      <c r="W11" s="392">
        <v>15467.87</v>
      </c>
      <c r="X11" s="70">
        <v>1596</v>
      </c>
      <c r="Y11" s="51">
        <v>1246</v>
      </c>
      <c r="Z11" s="70">
        <v>6660</v>
      </c>
      <c r="AA11" s="50">
        <v>1456</v>
      </c>
      <c r="AB11" s="51">
        <v>1136</v>
      </c>
      <c r="AC11" s="52">
        <v>6469</v>
      </c>
      <c r="AD11" s="51">
        <v>1615</v>
      </c>
      <c r="AE11" s="51">
        <v>1221</v>
      </c>
      <c r="AF11" s="51">
        <v>7361</v>
      </c>
      <c r="AG11" s="445">
        <f>625+362</f>
        <v>987</v>
      </c>
      <c r="AH11" s="392">
        <v>7005.17</v>
      </c>
      <c r="AI11" s="50">
        <v>869</v>
      </c>
      <c r="AJ11" s="1556"/>
      <c r="AK11" s="1461"/>
      <c r="AL11" s="50">
        <v>853</v>
      </c>
      <c r="AM11" s="1556"/>
      <c r="AN11" s="1461"/>
      <c r="AO11" s="51">
        <v>991</v>
      </c>
      <c r="AP11" s="1556"/>
      <c r="AQ11" s="1556"/>
      <c r="AR11" s="1289"/>
      <c r="AS11" s="1317"/>
      <c r="AT11" s="50">
        <v>275</v>
      </c>
      <c r="AU11" s="1556"/>
      <c r="AV11" s="1461"/>
      <c r="AW11" s="50">
        <v>4397</v>
      </c>
      <c r="AX11" s="1556"/>
      <c r="AY11" s="1461"/>
      <c r="AZ11" s="51">
        <v>795</v>
      </c>
      <c r="BA11" s="1556"/>
      <c r="BB11" s="1556"/>
      <c r="BC11" s="1289"/>
      <c r="BD11" s="1317"/>
      <c r="BE11" s="371">
        <v>2.2999999999999998</v>
      </c>
      <c r="BF11" s="1597"/>
      <c r="BG11" s="1277"/>
      <c r="BH11" s="64">
        <v>4.3</v>
      </c>
      <c r="BI11" s="1605"/>
      <c r="BJ11" s="1243"/>
      <c r="BK11" s="64">
        <v>0.60799999999999998</v>
      </c>
      <c r="BL11" s="1364"/>
      <c r="BM11" s="1389"/>
      <c r="BN11" s="1376"/>
      <c r="BO11" s="1378"/>
      <c r="BP11" s="64">
        <v>5.2</v>
      </c>
      <c r="BQ11" s="1602"/>
      <c r="BR11" s="1243"/>
      <c r="BS11" s="64">
        <v>5.6</v>
      </c>
      <c r="BT11" s="1602"/>
      <c r="BU11" s="1243"/>
      <c r="BV11" s="72">
        <v>6.9</v>
      </c>
      <c r="BW11" s="1600"/>
      <c r="BX11" s="1611"/>
      <c r="BY11" s="1304"/>
      <c r="BZ11" s="1306"/>
      <c r="CA11" s="78">
        <v>21</v>
      </c>
      <c r="CB11" s="1609"/>
      <c r="CC11" s="1243"/>
      <c r="CD11" s="78">
        <v>26</v>
      </c>
      <c r="CE11" s="1609"/>
      <c r="CF11" s="1243"/>
      <c r="CG11" s="78">
        <v>19</v>
      </c>
      <c r="CH11" s="1600"/>
      <c r="CI11" s="1611"/>
      <c r="CJ11" s="1304"/>
      <c r="CK11" s="1306"/>
      <c r="CL11" s="72">
        <v>2.9</v>
      </c>
      <c r="CM11" s="1609"/>
      <c r="CN11" s="1243"/>
      <c r="CO11" s="72">
        <v>94</v>
      </c>
      <c r="CP11" s="1609"/>
      <c r="CQ11" s="1243"/>
      <c r="CR11" s="72">
        <v>4.3</v>
      </c>
      <c r="CS11" s="1338"/>
      <c r="CT11" s="1306"/>
      <c r="CU11" s="1304"/>
      <c r="CV11" s="1306"/>
      <c r="CW11" s="78">
        <v>13</v>
      </c>
      <c r="CX11" s="1609"/>
      <c r="CY11" s="1243"/>
      <c r="CZ11" s="78">
        <v>28</v>
      </c>
      <c r="DA11" s="1609"/>
      <c r="DB11" s="1243"/>
      <c r="DC11" s="78">
        <v>36</v>
      </c>
      <c r="DD11" s="1600"/>
      <c r="DE11" s="1378"/>
      <c r="DF11" s="1304"/>
      <c r="DG11" s="1306"/>
      <c r="DH11" s="89">
        <v>0.309</v>
      </c>
      <c r="DI11" s="1605"/>
      <c r="DJ11" s="1243"/>
      <c r="DK11" s="89">
        <v>0.94</v>
      </c>
      <c r="DL11" s="1605"/>
      <c r="DM11" s="1243"/>
      <c r="DN11" s="89">
        <v>0.32</v>
      </c>
      <c r="DO11" s="1641"/>
      <c r="DP11" s="1643"/>
      <c r="DQ11" s="1395"/>
      <c r="DR11" s="1398"/>
      <c r="DS11" s="89">
        <v>0.77</v>
      </c>
      <c r="DT11" s="183"/>
      <c r="DU11" s="183"/>
      <c r="DV11" s="89">
        <v>9.5000000000000001E-2</v>
      </c>
      <c r="DW11" s="183"/>
      <c r="DX11" s="182"/>
      <c r="DY11" s="64">
        <v>0.65</v>
      </c>
      <c r="DZ11" s="183"/>
      <c r="EA11" s="182"/>
      <c r="EB11" s="183"/>
      <c r="EC11" s="183"/>
      <c r="ED11" s="72">
        <v>1.5</v>
      </c>
      <c r="EE11" s="183"/>
      <c r="EF11" s="183"/>
      <c r="EG11" s="78">
        <v>2.2999999999999998</v>
      </c>
      <c r="EH11" s="183"/>
      <c r="EI11" s="182"/>
      <c r="EJ11" s="78">
        <v>1.3</v>
      </c>
      <c r="EK11" s="183"/>
      <c r="EL11" s="182"/>
      <c r="EM11" s="400"/>
      <c r="EN11" s="401"/>
    </row>
    <row r="12" spans="1:144">
      <c r="A12" s="18" t="s">
        <v>43</v>
      </c>
      <c r="B12" s="37">
        <v>68</v>
      </c>
      <c r="C12" s="1577"/>
      <c r="D12" s="1575"/>
      <c r="E12" s="37">
        <v>95</v>
      </c>
      <c r="F12" s="1628">
        <f>(0.535*1000)</f>
        <v>535</v>
      </c>
      <c r="G12" s="1626">
        <f>(477.4+1211.7+264.3+1651.09+41.18+20.81)*A17</f>
        <v>4436.4407999999994</v>
      </c>
      <c r="H12" s="33">
        <v>81</v>
      </c>
      <c r="I12" s="1452"/>
      <c r="J12" s="1494"/>
      <c r="K12" s="1630">
        <v>763</v>
      </c>
      <c r="L12" s="1275">
        <v>6292.68</v>
      </c>
      <c r="M12" s="51">
        <v>5887</v>
      </c>
      <c r="N12" s="51">
        <v>5816</v>
      </c>
      <c r="O12" s="51">
        <v>28149</v>
      </c>
      <c r="P12" s="50">
        <v>5965</v>
      </c>
      <c r="Q12" s="51">
        <v>5614</v>
      </c>
      <c r="R12" s="52">
        <v>27493</v>
      </c>
      <c r="S12" s="51">
        <v>6285</v>
      </c>
      <c r="T12" s="51">
        <v>5641</v>
      </c>
      <c r="U12" s="51">
        <v>30786</v>
      </c>
      <c r="V12" s="445">
        <v>4880</v>
      </c>
      <c r="W12" s="392">
        <v>27801.06</v>
      </c>
      <c r="X12" s="70">
        <v>2571</v>
      </c>
      <c r="Y12" s="51">
        <v>2538</v>
      </c>
      <c r="Z12" s="70">
        <v>11924</v>
      </c>
      <c r="AA12" s="50">
        <v>2714</v>
      </c>
      <c r="AB12" s="51">
        <v>2506</v>
      </c>
      <c r="AC12" s="52">
        <v>11894</v>
      </c>
      <c r="AD12" s="51">
        <v>2924</v>
      </c>
      <c r="AE12" s="51">
        <v>2603</v>
      </c>
      <c r="AF12" s="51">
        <v>13780</v>
      </c>
      <c r="AG12" s="445">
        <f>1727+399</f>
        <v>2126</v>
      </c>
      <c r="AH12" s="392">
        <v>12317.99</v>
      </c>
      <c r="AI12" s="50">
        <v>7995</v>
      </c>
      <c r="AJ12" s="1556"/>
      <c r="AK12" s="1461"/>
      <c r="AL12" s="50">
        <v>4370</v>
      </c>
      <c r="AM12" s="1556"/>
      <c r="AN12" s="1461"/>
      <c r="AO12" s="51">
        <v>7026</v>
      </c>
      <c r="AP12" s="1556"/>
      <c r="AQ12" s="1556"/>
      <c r="AR12" s="1289"/>
      <c r="AS12" s="1317"/>
      <c r="AT12" s="50">
        <v>807</v>
      </c>
      <c r="AU12" s="1556"/>
      <c r="AV12" s="1461"/>
      <c r="AW12" s="50">
        <v>4905</v>
      </c>
      <c r="AX12" s="1556"/>
      <c r="AY12" s="1461"/>
      <c r="AZ12" s="51"/>
      <c r="BA12" s="1556"/>
      <c r="BB12" s="1556"/>
      <c r="BC12" s="1289"/>
      <c r="BD12" s="1317"/>
      <c r="BE12" s="371">
        <v>9.5</v>
      </c>
      <c r="BF12" s="1597"/>
      <c r="BG12" s="1277"/>
      <c r="BH12" s="64">
        <v>4.3</v>
      </c>
      <c r="BI12" s="1605"/>
      <c r="BJ12" s="1243"/>
      <c r="BK12" s="64">
        <v>1.0900000000000001</v>
      </c>
      <c r="BL12" s="1364"/>
      <c r="BM12" s="1389"/>
      <c r="BN12" s="1376"/>
      <c r="BO12" s="1378"/>
      <c r="BP12" s="64">
        <v>5.03</v>
      </c>
      <c r="BQ12" s="1602"/>
      <c r="BR12" s="1243"/>
      <c r="BS12" s="64">
        <v>5.6</v>
      </c>
      <c r="BT12" s="1602"/>
      <c r="BU12" s="1243"/>
      <c r="BV12" s="72">
        <v>9.4</v>
      </c>
      <c r="BW12" s="1600"/>
      <c r="BX12" s="1611"/>
      <c r="BY12" s="1304"/>
      <c r="BZ12" s="1306"/>
      <c r="CA12" s="78">
        <v>75</v>
      </c>
      <c r="CB12" s="1609"/>
      <c r="CC12" s="1243"/>
      <c r="CD12" s="78">
        <v>89</v>
      </c>
      <c r="CE12" s="1609"/>
      <c r="CF12" s="1243"/>
      <c r="CG12" s="78">
        <v>74</v>
      </c>
      <c r="CH12" s="1600"/>
      <c r="CI12" s="1611"/>
      <c r="CJ12" s="1304"/>
      <c r="CK12" s="1306"/>
      <c r="CL12" s="72">
        <v>20</v>
      </c>
      <c r="CM12" s="1609"/>
      <c r="CN12" s="1243"/>
      <c r="CO12" s="72">
        <v>30</v>
      </c>
      <c r="CP12" s="1609"/>
      <c r="CQ12" s="1243"/>
      <c r="CR12" s="72">
        <v>21</v>
      </c>
      <c r="CS12" s="1338"/>
      <c r="CT12" s="1306"/>
      <c r="CU12" s="1304"/>
      <c r="CV12" s="1306"/>
      <c r="CW12" s="78">
        <v>29</v>
      </c>
      <c r="CX12" s="1609"/>
      <c r="CY12" s="1243"/>
      <c r="CZ12" s="78">
        <v>36</v>
      </c>
      <c r="DA12" s="1609"/>
      <c r="DB12" s="1243"/>
      <c r="DC12" s="78">
        <v>50</v>
      </c>
      <c r="DD12" s="1600"/>
      <c r="DE12" s="1378"/>
      <c r="DF12" s="1304"/>
      <c r="DG12" s="1306"/>
      <c r="DH12" s="89">
        <v>1.3</v>
      </c>
      <c r="DI12" s="1605"/>
      <c r="DJ12" s="1243"/>
      <c r="DK12" s="89">
        <v>1.04</v>
      </c>
      <c r="DL12" s="1605"/>
      <c r="DM12" s="1243"/>
      <c r="DN12" s="89">
        <v>0.53</v>
      </c>
      <c r="DO12" s="1641"/>
      <c r="DP12" s="1643"/>
      <c r="DQ12" s="1395"/>
      <c r="DR12" s="1398"/>
      <c r="DS12" s="89">
        <v>1.1000000000000001</v>
      </c>
      <c r="DT12" s="183"/>
      <c r="DU12" s="183"/>
      <c r="DV12" s="89">
        <v>0.68</v>
      </c>
      <c r="DW12" s="183"/>
      <c r="DX12" s="182"/>
      <c r="DY12" s="64">
        <v>0.71</v>
      </c>
      <c r="DZ12" s="183"/>
      <c r="EA12" s="182"/>
      <c r="EB12" s="183"/>
      <c r="EC12" s="183"/>
      <c r="ED12" s="72">
        <v>10</v>
      </c>
      <c r="EE12" s="183"/>
      <c r="EF12" s="183"/>
      <c r="EG12" s="78">
        <v>10</v>
      </c>
      <c r="EH12" s="183"/>
      <c r="EI12" s="182"/>
      <c r="EJ12" s="78">
        <v>8.5</v>
      </c>
      <c r="EK12" s="183"/>
      <c r="EL12" s="182"/>
      <c r="EM12" s="400"/>
      <c r="EN12" s="401"/>
    </row>
    <row r="13" spans="1:144">
      <c r="A13" s="18" t="s">
        <v>44</v>
      </c>
      <c r="B13" s="37">
        <v>104</v>
      </c>
      <c r="C13" s="1577">
        <f>0.514*1000</f>
        <v>514</v>
      </c>
      <c r="D13" s="1575">
        <f>(1151.59+254.43+1524.9+39.16+27.03+14.55)*A17</f>
        <v>3644.1086000000005</v>
      </c>
      <c r="E13" s="37">
        <v>114</v>
      </c>
      <c r="F13" s="1628"/>
      <c r="G13" s="1626"/>
      <c r="H13" s="33">
        <v>57</v>
      </c>
      <c r="I13" s="1631">
        <v>410</v>
      </c>
      <c r="J13" s="1481">
        <v>4215.0590000000002</v>
      </c>
      <c r="K13" s="1533"/>
      <c r="L13" s="1287"/>
      <c r="M13" s="51">
        <v>6475</v>
      </c>
      <c r="N13" s="51">
        <v>6771</v>
      </c>
      <c r="O13" s="51">
        <v>32464</v>
      </c>
      <c r="P13" s="50">
        <v>4859</v>
      </c>
      <c r="Q13" s="51">
        <v>5168</v>
      </c>
      <c r="R13" s="52">
        <v>25462</v>
      </c>
      <c r="S13" s="51">
        <v>5343</v>
      </c>
      <c r="T13" s="51">
        <v>5819</v>
      </c>
      <c r="U13" s="51">
        <v>31691</v>
      </c>
      <c r="V13" s="445">
        <v>4628</v>
      </c>
      <c r="W13" s="392">
        <v>23732.5</v>
      </c>
      <c r="X13" s="70">
        <v>2894</v>
      </c>
      <c r="Y13" s="51">
        <v>3026</v>
      </c>
      <c r="Z13" s="70">
        <v>13820</v>
      </c>
      <c r="AA13" s="50">
        <v>2085</v>
      </c>
      <c r="AB13" s="51">
        <v>2280</v>
      </c>
      <c r="AC13" s="52">
        <v>10954</v>
      </c>
      <c r="AD13" s="51">
        <v>2782</v>
      </c>
      <c r="AE13" s="523">
        <f>2397+604</f>
        <v>3001</v>
      </c>
      <c r="AF13" s="523">
        <v>15439.61</v>
      </c>
      <c r="AG13" s="443">
        <f>1812+419</f>
        <v>2231</v>
      </c>
      <c r="AH13" s="391">
        <v>11435.77</v>
      </c>
      <c r="AI13" s="50">
        <v>26083</v>
      </c>
      <c r="AJ13" s="1556"/>
      <c r="AK13" s="1461"/>
      <c r="AL13" s="50">
        <v>22295</v>
      </c>
      <c r="AM13" s="1556"/>
      <c r="AN13" s="1461"/>
      <c r="AO13" s="51">
        <v>30638</v>
      </c>
      <c r="AP13" s="1556"/>
      <c r="AQ13" s="1556"/>
      <c r="AR13" s="1289"/>
      <c r="AS13" s="1317"/>
      <c r="AT13" s="50">
        <v>50423</v>
      </c>
      <c r="AU13" s="1556"/>
      <c r="AV13" s="1461"/>
      <c r="AW13" s="50">
        <v>45297</v>
      </c>
      <c r="AX13" s="1556"/>
      <c r="AY13" s="1461"/>
      <c r="AZ13" s="51">
        <v>43780</v>
      </c>
      <c r="BA13" s="1556"/>
      <c r="BB13" s="1556"/>
      <c r="BC13" s="1289"/>
      <c r="BD13" s="1317"/>
      <c r="BE13" s="371">
        <v>1.7</v>
      </c>
      <c r="BF13" s="1597"/>
      <c r="BG13" s="1277"/>
      <c r="BH13" s="64">
        <v>1.6</v>
      </c>
      <c r="BI13" s="1605"/>
      <c r="BJ13" s="1243"/>
      <c r="BK13" s="64">
        <v>1.6</v>
      </c>
      <c r="BL13" s="1364"/>
      <c r="BM13" s="1389"/>
      <c r="BN13" s="1376"/>
      <c r="BO13" s="1378"/>
      <c r="BP13" s="64">
        <v>4.4000000000000004</v>
      </c>
      <c r="BQ13" s="1602"/>
      <c r="BR13" s="1243"/>
      <c r="BS13" s="64">
        <v>4.9000000000000004</v>
      </c>
      <c r="BT13" s="1602"/>
      <c r="BU13" s="1243"/>
      <c r="BV13" s="72">
        <v>15</v>
      </c>
      <c r="BW13" s="1600"/>
      <c r="BX13" s="1611"/>
      <c r="BY13" s="1304"/>
      <c r="BZ13" s="1306"/>
      <c r="CA13" s="78">
        <v>80</v>
      </c>
      <c r="CB13" s="1609"/>
      <c r="CC13" s="1243"/>
      <c r="CD13" s="78">
        <v>35</v>
      </c>
      <c r="CE13" s="1609"/>
      <c r="CF13" s="1243"/>
      <c r="CG13" s="78">
        <v>56</v>
      </c>
      <c r="CH13" s="1600"/>
      <c r="CI13" s="1611"/>
      <c r="CJ13" s="1304"/>
      <c r="CK13" s="1306"/>
      <c r="CL13" s="72">
        <v>19</v>
      </c>
      <c r="CM13" s="1609"/>
      <c r="CN13" s="1243"/>
      <c r="CO13" s="72">
        <v>12</v>
      </c>
      <c r="CP13" s="1609"/>
      <c r="CQ13" s="1243"/>
      <c r="CR13" s="72">
        <v>14</v>
      </c>
      <c r="CS13" s="1338"/>
      <c r="CT13" s="1306"/>
      <c r="CU13" s="1304"/>
      <c r="CV13" s="1306"/>
      <c r="CW13" s="78">
        <v>25</v>
      </c>
      <c r="CX13" s="1609"/>
      <c r="CY13" s="1243"/>
      <c r="CZ13" s="78">
        <v>31</v>
      </c>
      <c r="DA13" s="1609"/>
      <c r="DB13" s="1243"/>
      <c r="DC13" s="78">
        <v>36</v>
      </c>
      <c r="DD13" s="1600"/>
      <c r="DE13" s="1378"/>
      <c r="DF13" s="1304"/>
      <c r="DG13" s="1306"/>
      <c r="DH13" s="89">
        <v>1.7</v>
      </c>
      <c r="DI13" s="1605"/>
      <c r="DJ13" s="1243"/>
      <c r="DK13" s="89">
        <v>0.24</v>
      </c>
      <c r="DL13" s="1605"/>
      <c r="DM13" s="1243"/>
      <c r="DN13" s="89">
        <v>0.97</v>
      </c>
      <c r="DO13" s="1641"/>
      <c r="DP13" s="1643"/>
      <c r="DQ13" s="1395"/>
      <c r="DR13" s="1398"/>
      <c r="DS13" s="89">
        <v>0.70499999999999996</v>
      </c>
      <c r="DT13" s="183"/>
      <c r="DU13" s="183"/>
      <c r="DV13" s="89">
        <v>0.56999999999999995</v>
      </c>
      <c r="DW13" s="183"/>
      <c r="DX13" s="182"/>
      <c r="DY13" s="64">
        <v>0.74</v>
      </c>
      <c r="DZ13" s="183"/>
      <c r="EA13" s="182"/>
      <c r="EB13" s="183"/>
      <c r="EC13" s="183"/>
      <c r="ED13" s="72">
        <v>12</v>
      </c>
      <c r="EE13" s="183"/>
      <c r="EF13" s="183"/>
      <c r="EG13" s="78">
        <v>4.0999999999999996</v>
      </c>
      <c r="EH13" s="183"/>
      <c r="EI13" s="182"/>
      <c r="EJ13" s="78">
        <v>8.4</v>
      </c>
      <c r="EK13" s="183"/>
      <c r="EL13" s="182"/>
      <c r="EM13" s="400"/>
      <c r="EN13" s="401"/>
    </row>
    <row r="14" spans="1:144">
      <c r="A14" s="18" t="s">
        <v>45</v>
      </c>
      <c r="B14" s="37">
        <v>194</v>
      </c>
      <c r="C14" s="1577"/>
      <c r="D14" s="1575"/>
      <c r="E14" s="37">
        <v>174</v>
      </c>
      <c r="F14" s="1628"/>
      <c r="G14" s="1626"/>
      <c r="H14" s="33">
        <v>186</v>
      </c>
      <c r="I14" s="1338"/>
      <c r="J14" s="1309"/>
      <c r="K14" s="1533"/>
      <c r="L14" s="1287"/>
      <c r="M14" s="51">
        <v>7397</v>
      </c>
      <c r="N14" s="51">
        <v>7565</v>
      </c>
      <c r="O14" s="51">
        <v>36051</v>
      </c>
      <c r="P14" s="50">
        <v>4694</v>
      </c>
      <c r="Q14" s="51">
        <v>4727</v>
      </c>
      <c r="R14" s="52">
        <v>23454</v>
      </c>
      <c r="S14" s="51">
        <v>6983</v>
      </c>
      <c r="T14" s="51">
        <v>6732</v>
      </c>
      <c r="U14" s="51">
        <v>30025</v>
      </c>
      <c r="V14" s="445">
        <v>5039</v>
      </c>
      <c r="W14" s="392">
        <v>25601.05</v>
      </c>
      <c r="X14" s="70">
        <v>3591</v>
      </c>
      <c r="Y14" s="51">
        <v>3643</v>
      </c>
      <c r="Z14" s="70">
        <v>15827</v>
      </c>
      <c r="AA14" s="50">
        <v>1947</v>
      </c>
      <c r="AB14" s="51">
        <v>1944</v>
      </c>
      <c r="AC14" s="52">
        <v>9702</v>
      </c>
      <c r="AD14" s="51">
        <v>3853</v>
      </c>
      <c r="AE14" s="51">
        <v>3687</v>
      </c>
      <c r="AF14" s="51">
        <v>15344</v>
      </c>
      <c r="AG14" s="445">
        <f>2276+459</f>
        <v>2735</v>
      </c>
      <c r="AH14" s="392">
        <v>13374.99</v>
      </c>
      <c r="AI14" s="50">
        <v>45860</v>
      </c>
      <c r="AJ14" s="1556"/>
      <c r="AK14" s="1461"/>
      <c r="AL14" s="50">
        <v>59848</v>
      </c>
      <c r="AM14" s="1556"/>
      <c r="AN14" s="1461"/>
      <c r="AO14" s="51">
        <v>65034</v>
      </c>
      <c r="AP14" s="1556"/>
      <c r="AQ14" s="1556"/>
      <c r="AR14" s="1289"/>
      <c r="AS14" s="1317"/>
      <c r="AT14" s="50">
        <v>71332</v>
      </c>
      <c r="AU14" s="1556"/>
      <c r="AV14" s="1461"/>
      <c r="AW14" s="50">
        <v>81574</v>
      </c>
      <c r="AX14" s="1556"/>
      <c r="AY14" s="1461"/>
      <c r="AZ14" s="51">
        <v>85477</v>
      </c>
      <c r="BA14" s="1556"/>
      <c r="BB14" s="1556"/>
      <c r="BC14" s="1289"/>
      <c r="BD14" s="1317"/>
      <c r="BE14" s="371">
        <v>1.3</v>
      </c>
      <c r="BF14" s="1597"/>
      <c r="BG14" s="1277"/>
      <c r="BH14" s="64">
        <v>3.4</v>
      </c>
      <c r="BI14" s="1605"/>
      <c r="BJ14" s="1243"/>
      <c r="BK14" s="64">
        <v>1.7</v>
      </c>
      <c r="BL14" s="1364"/>
      <c r="BM14" s="1389"/>
      <c r="BN14" s="1376"/>
      <c r="BO14" s="1378"/>
      <c r="BP14" s="64">
        <v>3.7</v>
      </c>
      <c r="BQ14" s="1602"/>
      <c r="BR14" s="1243"/>
      <c r="BS14" s="64">
        <v>3.5</v>
      </c>
      <c r="BT14" s="1602"/>
      <c r="BU14" s="1243"/>
      <c r="BV14" s="72">
        <v>6.7</v>
      </c>
      <c r="BW14" s="1600"/>
      <c r="BX14" s="1611"/>
      <c r="BY14" s="1304"/>
      <c r="BZ14" s="1306"/>
      <c r="CA14" s="78">
        <v>78</v>
      </c>
      <c r="CB14" s="1609"/>
      <c r="CC14" s="1243"/>
      <c r="CD14" s="78">
        <v>33</v>
      </c>
      <c r="CE14" s="1609"/>
      <c r="CF14" s="1243"/>
      <c r="CG14" s="78">
        <v>67</v>
      </c>
      <c r="CH14" s="1600"/>
      <c r="CI14" s="1611"/>
      <c r="CJ14" s="1304"/>
      <c r="CK14" s="1306"/>
      <c r="CL14" s="72">
        <v>13</v>
      </c>
      <c r="CM14" s="1609"/>
      <c r="CN14" s="1243"/>
      <c r="CO14" s="72">
        <v>12</v>
      </c>
      <c r="CP14" s="1609"/>
      <c r="CQ14" s="1243"/>
      <c r="CR14" s="72">
        <v>17</v>
      </c>
      <c r="CS14" s="1338"/>
      <c r="CT14" s="1306"/>
      <c r="CU14" s="1304"/>
      <c r="CV14" s="1306"/>
      <c r="CW14" s="78">
        <v>22</v>
      </c>
      <c r="CX14" s="1609"/>
      <c r="CY14" s="1243"/>
      <c r="CZ14" s="78">
        <v>26</v>
      </c>
      <c r="DA14" s="1609"/>
      <c r="DB14" s="1243"/>
      <c r="DC14" s="78">
        <v>46</v>
      </c>
      <c r="DD14" s="1600"/>
      <c r="DE14" s="1378"/>
      <c r="DF14" s="1304"/>
      <c r="DG14" s="1306"/>
      <c r="DH14" s="89">
        <v>5.3</v>
      </c>
      <c r="DI14" s="1605"/>
      <c r="DJ14" s="1243"/>
      <c r="DK14" s="89">
        <v>0.64</v>
      </c>
      <c r="DL14" s="1605"/>
      <c r="DM14" s="1243"/>
      <c r="DN14" s="89">
        <v>2.09</v>
      </c>
      <c r="DO14" s="1641"/>
      <c r="DP14" s="1643"/>
      <c r="DQ14" s="1395"/>
      <c r="DR14" s="1398"/>
      <c r="DS14" s="89">
        <v>0.64</v>
      </c>
      <c r="DT14" s="183"/>
      <c r="DU14" s="183"/>
      <c r="DV14" s="89">
        <v>0.28000000000000003</v>
      </c>
      <c r="DW14" s="183"/>
      <c r="DX14" s="182"/>
      <c r="DY14" s="64">
        <v>0.93</v>
      </c>
      <c r="DZ14" s="183"/>
      <c r="EA14" s="182"/>
      <c r="EB14" s="183"/>
      <c r="EC14" s="183"/>
      <c r="ED14" s="72">
        <v>10</v>
      </c>
      <c r="EE14" s="183"/>
      <c r="EF14" s="183"/>
      <c r="EG14" s="78">
        <v>4.7</v>
      </c>
      <c r="EH14" s="183"/>
      <c r="EI14" s="182"/>
      <c r="EJ14" s="78">
        <v>12</v>
      </c>
      <c r="EK14" s="183"/>
      <c r="EL14" s="182"/>
      <c r="EM14" s="400"/>
      <c r="EN14" s="401"/>
    </row>
    <row r="15" spans="1:144">
      <c r="A15" s="19" t="s">
        <v>46</v>
      </c>
      <c r="B15" s="37">
        <v>238</v>
      </c>
      <c r="C15" s="1624"/>
      <c r="D15" s="1625"/>
      <c r="E15" s="37">
        <v>244</v>
      </c>
      <c r="F15" s="1629"/>
      <c r="G15" s="1627"/>
      <c r="H15" s="33">
        <v>123</v>
      </c>
      <c r="I15" s="1339"/>
      <c r="J15" s="1497"/>
      <c r="K15" s="1315"/>
      <c r="L15" s="1316"/>
      <c r="M15" s="51">
        <v>7345</v>
      </c>
      <c r="N15" s="51">
        <v>6591</v>
      </c>
      <c r="O15" s="51">
        <v>31651</v>
      </c>
      <c r="P15" s="50">
        <v>4901</v>
      </c>
      <c r="Q15" s="51">
        <v>4627</v>
      </c>
      <c r="R15" s="52">
        <v>22999</v>
      </c>
      <c r="S15" s="51">
        <v>5875</v>
      </c>
      <c r="T15" s="51">
        <v>6006</v>
      </c>
      <c r="U15" s="51">
        <v>26976</v>
      </c>
      <c r="V15" s="445">
        <v>4715</v>
      </c>
      <c r="W15" s="392">
        <v>24128.03</v>
      </c>
      <c r="X15" s="70">
        <v>3189</v>
      </c>
      <c r="Y15" s="51">
        <v>2994</v>
      </c>
      <c r="Z15" s="70">
        <v>13286</v>
      </c>
      <c r="AA15" s="50">
        <v>2640</v>
      </c>
      <c r="AB15" s="51">
        <v>2550</v>
      </c>
      <c r="AC15" s="52">
        <v>11959</v>
      </c>
      <c r="AD15" s="51">
        <v>3076</v>
      </c>
      <c r="AE15" s="51">
        <v>3212</v>
      </c>
      <c r="AF15" s="51">
        <v>13470</v>
      </c>
      <c r="AG15" s="447">
        <f>1945+411</f>
        <v>2356</v>
      </c>
      <c r="AH15" s="448">
        <v>11917.24</v>
      </c>
      <c r="AI15" s="50">
        <v>75485</v>
      </c>
      <c r="AJ15" s="1578"/>
      <c r="AK15" s="1462"/>
      <c r="AL15" s="50">
        <v>75394</v>
      </c>
      <c r="AM15" s="1578"/>
      <c r="AN15" s="1462"/>
      <c r="AO15" s="51">
        <v>77705</v>
      </c>
      <c r="AP15" s="1578"/>
      <c r="AQ15" s="1578"/>
      <c r="AR15" s="1290"/>
      <c r="AS15" s="1318"/>
      <c r="AT15" s="50">
        <v>114797</v>
      </c>
      <c r="AU15" s="1578"/>
      <c r="AV15" s="1462"/>
      <c r="AW15" s="50">
        <v>115798</v>
      </c>
      <c r="AX15" s="1578"/>
      <c r="AY15" s="1462"/>
      <c r="AZ15" s="51">
        <v>109877</v>
      </c>
      <c r="BA15" s="1578"/>
      <c r="BB15" s="1578"/>
      <c r="BC15" s="1290"/>
      <c r="BD15" s="1318"/>
      <c r="BE15" s="371">
        <v>1.9</v>
      </c>
      <c r="BF15" s="1635"/>
      <c r="BG15" s="1634"/>
      <c r="BH15" s="64">
        <v>5.01</v>
      </c>
      <c r="BI15" s="1606"/>
      <c r="BJ15" s="1244"/>
      <c r="BK15" s="64">
        <v>1.2</v>
      </c>
      <c r="BL15" s="1366"/>
      <c r="BM15" s="1390"/>
      <c r="BN15" s="1592"/>
      <c r="BO15" s="1593"/>
      <c r="BP15" s="64">
        <v>3.8</v>
      </c>
      <c r="BQ15" s="1603"/>
      <c r="BR15" s="1244"/>
      <c r="BS15" s="64">
        <v>3.4</v>
      </c>
      <c r="BT15" s="1603"/>
      <c r="BU15" s="1244"/>
      <c r="BV15" s="72">
        <v>40</v>
      </c>
      <c r="BW15" s="1601"/>
      <c r="BX15" s="1567"/>
      <c r="BY15" s="1305"/>
      <c r="BZ15" s="1307"/>
      <c r="CA15" s="78">
        <v>68</v>
      </c>
      <c r="CB15" s="1610"/>
      <c r="CC15" s="1244"/>
      <c r="CD15" s="78">
        <v>110</v>
      </c>
      <c r="CE15" s="1610"/>
      <c r="CF15" s="1244"/>
      <c r="CG15" s="78">
        <v>54</v>
      </c>
      <c r="CH15" s="1601"/>
      <c r="CI15" s="1567"/>
      <c r="CJ15" s="1305"/>
      <c r="CK15" s="1307"/>
      <c r="CL15" s="72">
        <v>12</v>
      </c>
      <c r="CM15" s="1610"/>
      <c r="CN15" s="1244"/>
      <c r="CO15" s="72">
        <v>13</v>
      </c>
      <c r="CP15" s="1610"/>
      <c r="CQ15" s="1244"/>
      <c r="CR15" s="72">
        <v>11</v>
      </c>
      <c r="CS15" s="1339"/>
      <c r="CT15" s="1307"/>
      <c r="CU15" s="1305"/>
      <c r="CV15" s="1307"/>
      <c r="CW15" s="78">
        <v>21</v>
      </c>
      <c r="CX15" s="1610"/>
      <c r="CY15" s="1244"/>
      <c r="CZ15" s="78">
        <v>39</v>
      </c>
      <c r="DA15" s="1610"/>
      <c r="DB15" s="1244"/>
      <c r="DC15" s="78">
        <v>40</v>
      </c>
      <c r="DD15" s="1601"/>
      <c r="DE15" s="1593"/>
      <c r="DF15" s="1305"/>
      <c r="DG15" s="1307"/>
      <c r="DH15" s="89">
        <v>2.0499999999999998</v>
      </c>
      <c r="DI15" s="1606"/>
      <c r="DJ15" s="1244"/>
      <c r="DK15" s="89">
        <v>0.41</v>
      </c>
      <c r="DL15" s="1606"/>
      <c r="DM15" s="1244"/>
      <c r="DN15" s="89">
        <v>1.4</v>
      </c>
      <c r="DO15" s="1642"/>
      <c r="DP15" s="1644"/>
      <c r="DQ15" s="1590"/>
      <c r="DR15" s="1412"/>
      <c r="DS15" s="89">
        <v>0.53</v>
      </c>
      <c r="DT15" s="183"/>
      <c r="DU15" s="183"/>
      <c r="DV15" s="89">
        <v>0.28999999999999998</v>
      </c>
      <c r="DW15" s="183"/>
      <c r="DX15" s="182"/>
      <c r="DY15" s="64">
        <v>13</v>
      </c>
      <c r="DZ15" s="183"/>
      <c r="EA15" s="182"/>
      <c r="EB15" s="183"/>
      <c r="EC15" s="183"/>
      <c r="ED15" s="72">
        <v>9.3000000000000007</v>
      </c>
      <c r="EE15" s="183"/>
      <c r="EF15" s="183"/>
      <c r="EG15" s="78">
        <v>4</v>
      </c>
      <c r="EH15" s="183"/>
      <c r="EI15" s="182"/>
      <c r="EJ15" s="78">
        <v>7.6</v>
      </c>
      <c r="EK15" s="183"/>
      <c r="EL15" s="182"/>
      <c r="EM15" s="402"/>
      <c r="EN15" s="403"/>
    </row>
    <row r="16" spans="1:144">
      <c r="A16" s="13" t="s">
        <v>4</v>
      </c>
      <c r="B16" s="81">
        <f t="shared" ref="B16:CA16" si="0">SUM(B4:B15)</f>
        <v>1474</v>
      </c>
      <c r="C16" s="82">
        <f>SUM(C4:C15)</f>
        <v>1439</v>
      </c>
      <c r="D16" s="82">
        <f>SUM(D4:D15)</f>
        <v>10722.8385</v>
      </c>
      <c r="E16" s="81">
        <f t="shared" si="0"/>
        <v>1564</v>
      </c>
      <c r="F16" s="82">
        <f t="shared" si="0"/>
        <v>1049</v>
      </c>
      <c r="G16" s="82">
        <f t="shared" si="0"/>
        <v>11811.172999999999</v>
      </c>
      <c r="H16" s="81">
        <f t="shared" si="0"/>
        <v>1451</v>
      </c>
      <c r="I16" s="82">
        <f t="shared" si="0"/>
        <v>1522</v>
      </c>
      <c r="J16" s="532">
        <f t="shared" si="0"/>
        <v>14237.997200000002</v>
      </c>
      <c r="K16" s="444">
        <f>SUM(K4:K15)</f>
        <v>1574</v>
      </c>
      <c r="L16" s="442">
        <f>SUM(L4:L15)</f>
        <v>15988.3495</v>
      </c>
      <c r="M16" s="81">
        <f t="shared" si="0"/>
        <v>69101</v>
      </c>
      <c r="N16" s="82">
        <f t="shared" si="0"/>
        <v>65061</v>
      </c>
      <c r="O16" s="82">
        <f t="shared" si="0"/>
        <v>314654.45</v>
      </c>
      <c r="P16" s="81">
        <f t="shared" si="0"/>
        <v>51388</v>
      </c>
      <c r="Q16" s="82">
        <f t="shared" si="0"/>
        <v>51551</v>
      </c>
      <c r="R16" s="83">
        <f t="shared" si="0"/>
        <v>257889</v>
      </c>
      <c r="S16" s="82">
        <f t="shared" si="0"/>
        <v>58258</v>
      </c>
      <c r="T16" s="82">
        <f t="shared" si="0"/>
        <v>58244</v>
      </c>
      <c r="U16" s="82">
        <f t="shared" si="0"/>
        <v>309451</v>
      </c>
      <c r="V16" s="446">
        <f>SUM(V4:V15)</f>
        <v>51135</v>
      </c>
      <c r="W16" s="133">
        <f>SUM(W4:W15)</f>
        <v>310977.66000000003</v>
      </c>
      <c r="X16" s="82">
        <f t="shared" si="0"/>
        <v>32203</v>
      </c>
      <c r="Y16" s="82">
        <f t="shared" si="0"/>
        <v>31945</v>
      </c>
      <c r="Z16" s="83">
        <f t="shared" si="0"/>
        <v>144681</v>
      </c>
      <c r="AA16" s="82">
        <f t="shared" si="0"/>
        <v>23338</v>
      </c>
      <c r="AB16" s="82">
        <f t="shared" si="0"/>
        <v>23302</v>
      </c>
      <c r="AC16" s="83">
        <f t="shared" si="0"/>
        <v>114540</v>
      </c>
      <c r="AD16" s="82">
        <f t="shared" si="0"/>
        <v>26357</v>
      </c>
      <c r="AE16" s="82">
        <f t="shared" si="0"/>
        <v>26320</v>
      </c>
      <c r="AF16" s="82">
        <f t="shared" si="0"/>
        <v>135747.60999999999</v>
      </c>
      <c r="AG16" s="446">
        <f>SUM(AG4:AG15)</f>
        <v>27547</v>
      </c>
      <c r="AH16" s="133">
        <f>SUM(AH4:AH15)</f>
        <v>151968.74</v>
      </c>
      <c r="AI16" s="81">
        <f t="shared" si="0"/>
        <v>416570</v>
      </c>
      <c r="AJ16" s="82">
        <f t="shared" si="0"/>
        <v>408020.60000000003</v>
      </c>
      <c r="AK16" s="82">
        <f t="shared" si="0"/>
        <v>930784.52999999991</v>
      </c>
      <c r="AL16" s="81">
        <f t="shared" si="0"/>
        <v>349837</v>
      </c>
      <c r="AM16" s="82">
        <f t="shared" si="0"/>
        <v>350196.60000000003</v>
      </c>
      <c r="AN16" s="82">
        <f t="shared" si="0"/>
        <v>762880.62</v>
      </c>
      <c r="AO16" s="81">
        <f t="shared" si="0"/>
        <v>448016</v>
      </c>
      <c r="AP16" s="82">
        <f t="shared" si="0"/>
        <v>452778.60000000003</v>
      </c>
      <c r="AQ16" s="82">
        <f t="shared" si="0"/>
        <v>962610.55999999994</v>
      </c>
      <c r="AR16" s="81">
        <f>SUM(AR4:AR15)</f>
        <v>342989</v>
      </c>
      <c r="AS16" s="133">
        <f>SUM(AS4:AS15)</f>
        <v>1232192.69</v>
      </c>
      <c r="AT16" s="81">
        <f t="shared" si="0"/>
        <v>652888</v>
      </c>
      <c r="AU16" s="82">
        <f t="shared" si="0"/>
        <v>630031.4</v>
      </c>
      <c r="AV16" s="83">
        <f t="shared" si="0"/>
        <v>1437239.8699999999</v>
      </c>
      <c r="AW16" s="82">
        <f t="shared" si="0"/>
        <v>571019</v>
      </c>
      <c r="AX16" s="82">
        <f t="shared" si="0"/>
        <v>565924.6</v>
      </c>
      <c r="AY16" s="83">
        <f t="shared" si="0"/>
        <v>1232830.0999999999</v>
      </c>
      <c r="AZ16" s="82">
        <f t="shared" si="0"/>
        <v>617772</v>
      </c>
      <c r="BA16" s="82">
        <f t="shared" si="0"/>
        <v>651024.01400000008</v>
      </c>
      <c r="BB16" s="82">
        <f t="shared" si="0"/>
        <v>1384081.74</v>
      </c>
      <c r="BC16" s="446">
        <f>SUM(BC4:BC15)</f>
        <v>884431</v>
      </c>
      <c r="BD16" s="133">
        <f>SUM(BD4:BD15)</f>
        <v>1945135.68</v>
      </c>
      <c r="BE16" s="82">
        <f t="shared" si="0"/>
        <v>28.65</v>
      </c>
      <c r="BF16" s="82">
        <f t="shared" si="0"/>
        <v>23</v>
      </c>
      <c r="BG16" s="133">
        <f t="shared" si="0"/>
        <v>2289.77</v>
      </c>
      <c r="BH16" s="82">
        <f t="shared" si="0"/>
        <v>25.576000000000001</v>
      </c>
      <c r="BI16" s="82">
        <f t="shared" si="0"/>
        <v>31</v>
      </c>
      <c r="BJ16" s="132">
        <f t="shared" si="0"/>
        <v>3065.953</v>
      </c>
      <c r="BK16" s="81">
        <f t="shared" si="0"/>
        <v>29.908000000000005</v>
      </c>
      <c r="BL16" s="82">
        <f t="shared" si="0"/>
        <v>26</v>
      </c>
      <c r="BM16" s="132">
        <f t="shared" si="0"/>
        <v>2723.8639999999996</v>
      </c>
      <c r="BN16" s="449">
        <f>SUM(BN4:BN15)</f>
        <v>18</v>
      </c>
      <c r="BO16" s="132">
        <f>SUM(BO4:BO15)</f>
        <v>2024.1510000000001</v>
      </c>
      <c r="BP16" s="81">
        <f t="shared" si="0"/>
        <v>53.13</v>
      </c>
      <c r="BQ16" s="82">
        <f t="shared" si="0"/>
        <v>55</v>
      </c>
      <c r="BR16" s="132">
        <f t="shared" si="0"/>
        <v>5475.55</v>
      </c>
      <c r="BS16" s="81">
        <f t="shared" si="0"/>
        <v>51.42</v>
      </c>
      <c r="BT16" s="82">
        <f t="shared" si="0"/>
        <v>53</v>
      </c>
      <c r="BU16" s="133">
        <f t="shared" si="0"/>
        <v>5322.67</v>
      </c>
      <c r="BV16" s="82">
        <f t="shared" si="0"/>
        <v>112.8</v>
      </c>
      <c r="BW16" s="82">
        <f t="shared" si="0"/>
        <v>91</v>
      </c>
      <c r="BX16" s="133">
        <f t="shared" si="0"/>
        <v>9533.19</v>
      </c>
      <c r="BY16" s="82">
        <f>SUM(BY4:BY15)</f>
        <v>84</v>
      </c>
      <c r="BZ16" s="132">
        <f>SUM(BZ4:BZ15)</f>
        <v>9446.0499999999993</v>
      </c>
      <c r="CA16" s="82">
        <f t="shared" si="0"/>
        <v>742</v>
      </c>
      <c r="CB16" s="82">
        <f t="shared" ref="CB16:EI16" si="1">SUM(CB4:CB15)</f>
        <v>711</v>
      </c>
      <c r="CC16" s="132">
        <f t="shared" si="1"/>
        <v>70783.97</v>
      </c>
      <c r="CD16" s="81">
        <f t="shared" si="1"/>
        <v>535.9</v>
      </c>
      <c r="CE16" s="82">
        <f t="shared" si="1"/>
        <v>546</v>
      </c>
      <c r="CF16" s="132">
        <f t="shared" si="1"/>
        <v>54993.47</v>
      </c>
      <c r="CG16" s="81">
        <f t="shared" si="1"/>
        <v>522.4</v>
      </c>
      <c r="CH16" s="82">
        <f t="shared" si="1"/>
        <v>597</v>
      </c>
      <c r="CI16" s="132">
        <f t="shared" si="1"/>
        <v>62544.11</v>
      </c>
      <c r="CJ16" s="82">
        <f>SUM(CJ4:CJ15)</f>
        <v>658</v>
      </c>
      <c r="CK16" s="132">
        <f>SUM(CK4:CK15)</f>
        <v>73994.069999999992</v>
      </c>
      <c r="CL16" s="81">
        <f t="shared" si="1"/>
        <v>139.80799999999999</v>
      </c>
      <c r="CM16" s="82">
        <f t="shared" si="1"/>
        <v>136</v>
      </c>
      <c r="CN16" s="133">
        <f t="shared" si="1"/>
        <v>13539.553</v>
      </c>
      <c r="CO16" s="82">
        <f t="shared" si="1"/>
        <v>214.24</v>
      </c>
      <c r="CP16" s="82">
        <f t="shared" si="1"/>
        <v>220</v>
      </c>
      <c r="CQ16" s="133">
        <f t="shared" si="1"/>
        <v>22369.608</v>
      </c>
      <c r="CR16" s="82">
        <f t="shared" si="1"/>
        <v>146.9</v>
      </c>
      <c r="CS16" s="82">
        <f t="shared" si="1"/>
        <v>163</v>
      </c>
      <c r="CT16" s="133">
        <f t="shared" si="1"/>
        <v>17076.534</v>
      </c>
      <c r="CU16" s="82"/>
      <c r="CV16" s="132"/>
      <c r="CW16" s="82">
        <f t="shared" si="1"/>
        <v>376</v>
      </c>
      <c r="CX16" s="82">
        <f t="shared" si="1"/>
        <v>364</v>
      </c>
      <c r="CY16" s="132">
        <f>SUM(CY4,CY9)</f>
        <v>35839.979999999996</v>
      </c>
      <c r="CZ16" s="81">
        <f t="shared" si="1"/>
        <v>310</v>
      </c>
      <c r="DA16" s="82">
        <f t="shared" si="1"/>
        <v>339</v>
      </c>
      <c r="DB16" s="132">
        <f t="shared" si="1"/>
        <v>34327.637999999999</v>
      </c>
      <c r="DC16" s="81">
        <f t="shared" si="1"/>
        <v>548</v>
      </c>
      <c r="DD16" s="82">
        <f t="shared" si="1"/>
        <v>699.71199999999999</v>
      </c>
      <c r="DE16" s="132">
        <f t="shared" si="1"/>
        <v>24322.790099999998</v>
      </c>
      <c r="DF16" s="82">
        <f>SUM(DF4:DF15)</f>
        <v>334</v>
      </c>
      <c r="DG16" s="132">
        <f>SUM(DG4:DG15)</f>
        <v>37559.300000000003</v>
      </c>
      <c r="DH16" s="81">
        <f t="shared" si="1"/>
        <v>23.291999999999998</v>
      </c>
      <c r="DI16" s="82">
        <f t="shared" si="1"/>
        <v>21</v>
      </c>
      <c r="DJ16" s="133">
        <f t="shared" si="1"/>
        <v>9356.8649999999998</v>
      </c>
      <c r="DK16" s="82">
        <f t="shared" si="1"/>
        <v>9.2330999999999985</v>
      </c>
      <c r="DL16" s="82">
        <f t="shared" si="1"/>
        <v>9</v>
      </c>
      <c r="DM16" s="133">
        <f t="shared" si="1"/>
        <v>917.08199999999999</v>
      </c>
      <c r="DN16" s="82">
        <f t="shared" si="1"/>
        <v>9.8381000000000007</v>
      </c>
      <c r="DO16" s="82">
        <f t="shared" si="1"/>
        <v>14</v>
      </c>
      <c r="DP16" s="133">
        <f t="shared" si="1"/>
        <v>1466.6959999999999</v>
      </c>
      <c r="DQ16" s="82">
        <f>SUM(DQ4:DQ15)</f>
        <v>19</v>
      </c>
      <c r="DR16" s="132">
        <f>SUM(DR4:DR15)</f>
        <v>2136.6010000000001</v>
      </c>
      <c r="DS16" s="82">
        <f t="shared" si="1"/>
        <v>8.3549999999999986</v>
      </c>
      <c r="DT16" s="82">
        <f t="shared" si="1"/>
        <v>0</v>
      </c>
      <c r="DU16" s="82">
        <f t="shared" si="1"/>
        <v>0</v>
      </c>
      <c r="DV16" s="81">
        <f t="shared" si="1"/>
        <v>6.9564000000000004</v>
      </c>
      <c r="DW16" s="82">
        <f t="shared" si="1"/>
        <v>0</v>
      </c>
      <c r="DX16" s="82">
        <f t="shared" si="1"/>
        <v>0</v>
      </c>
      <c r="DY16" s="81">
        <f t="shared" si="1"/>
        <v>19.859000000000002</v>
      </c>
      <c r="DZ16" s="82">
        <f t="shared" si="1"/>
        <v>0</v>
      </c>
      <c r="EA16" s="82">
        <f t="shared" si="1"/>
        <v>0</v>
      </c>
      <c r="EB16" s="82">
        <f>SUM(EB4:EB15)</f>
        <v>0</v>
      </c>
      <c r="EC16" s="82">
        <f>SUM(EC4:EC15)</f>
        <v>0</v>
      </c>
      <c r="ED16" s="81">
        <f t="shared" si="1"/>
        <v>106.5</v>
      </c>
      <c r="EE16" s="82">
        <f t="shared" si="1"/>
        <v>0</v>
      </c>
      <c r="EF16" s="83">
        <f t="shared" si="1"/>
        <v>0</v>
      </c>
      <c r="EG16" s="82">
        <f t="shared" si="1"/>
        <v>57.74</v>
      </c>
      <c r="EH16" s="82">
        <f t="shared" si="1"/>
        <v>0</v>
      </c>
      <c r="EI16" s="83">
        <f t="shared" si="1"/>
        <v>0</v>
      </c>
      <c r="EJ16" s="82">
        <f>SUM(EJ4:EJ15)</f>
        <v>73.899999999999991</v>
      </c>
      <c r="EK16" s="82"/>
      <c r="EL16" s="83"/>
      <c r="EM16" s="359">
        <f>SUM(EM4:EM15)</f>
        <v>0</v>
      </c>
      <c r="EN16" s="360">
        <f>SUM(EN4:EN15)</f>
        <v>0</v>
      </c>
    </row>
    <row r="17" spans="1:140">
      <c r="A17">
        <v>1.21</v>
      </c>
      <c r="BX17" t="s">
        <v>129</v>
      </c>
      <c r="CI17" t="s">
        <v>130</v>
      </c>
      <c r="CT17" t="s">
        <v>129</v>
      </c>
      <c r="DE17" t="s">
        <v>130</v>
      </c>
      <c r="EJ17" s="91"/>
    </row>
    <row r="27" spans="1:140">
      <c r="CH27" s="91">
        <f>CF9+CI4</f>
        <v>48655.259999999995</v>
      </c>
    </row>
  </sheetData>
  <mergeCells count="194">
    <mergeCell ref="DD4:DD8"/>
    <mergeCell ref="DE4:DE8"/>
    <mergeCell ref="DA9:DA15"/>
    <mergeCell ref="DB9:DB15"/>
    <mergeCell ref="CP4:CP8"/>
    <mergeCell ref="DD9:DD15"/>
    <mergeCell ref="DE9:DE15"/>
    <mergeCell ref="DP4:DP8"/>
    <mergeCell ref="DO4:DO8"/>
    <mergeCell ref="DM9:DM15"/>
    <mergeCell ref="DL9:DL15"/>
    <mergeCell ref="DL4:DL8"/>
    <mergeCell ref="DM4:DM8"/>
    <mergeCell ref="DI9:DI15"/>
    <mergeCell ref="DJ9:DJ15"/>
    <mergeCell ref="DI4:DI8"/>
    <mergeCell ref="DJ4:DJ8"/>
    <mergeCell ref="DO9:DO15"/>
    <mergeCell ref="DP9:DP15"/>
    <mergeCell ref="CX4:CX8"/>
    <mergeCell ref="CY4:CY8"/>
    <mergeCell ref="CY9:CY15"/>
    <mergeCell ref="CX9:CX15"/>
    <mergeCell ref="DF4:DF8"/>
    <mergeCell ref="DB4:DB8"/>
    <mergeCell ref="DA4:DA8"/>
    <mergeCell ref="CQ4:CQ8"/>
    <mergeCell ref="CP9:CP15"/>
    <mergeCell ref="CQ9:CQ15"/>
    <mergeCell ref="CT4:CT8"/>
    <mergeCell ref="CS4:CS8"/>
    <mergeCell ref="CN4:CN8"/>
    <mergeCell ref="CN9:CN15"/>
    <mergeCell ref="CS9:CS15"/>
    <mergeCell ref="CT9:CT15"/>
    <mergeCell ref="CU4:CU8"/>
    <mergeCell ref="CV4:CV8"/>
    <mergeCell ref="BY4:BY8"/>
    <mergeCell ref="BZ4:BZ8"/>
    <mergeCell ref="BU4:BU8"/>
    <mergeCell ref="BT9:BT15"/>
    <mergeCell ref="BU9:BU15"/>
    <mergeCell ref="BW4:BW8"/>
    <mergeCell ref="BX4:BX8"/>
    <mergeCell ref="CM4:CM8"/>
    <mergeCell ref="CE4:CE8"/>
    <mergeCell ref="CM9:CM15"/>
    <mergeCell ref="CH9:CH15"/>
    <mergeCell ref="CI9:CI15"/>
    <mergeCell ref="CJ4:CJ8"/>
    <mergeCell ref="CK4:CK8"/>
    <mergeCell ref="CF4:CF8"/>
    <mergeCell ref="CE9:CE15"/>
    <mergeCell ref="CF9:CF15"/>
    <mergeCell ref="CH4:CH8"/>
    <mergeCell ref="CI4:CI8"/>
    <mergeCell ref="CL1:CV1"/>
    <mergeCell ref="CU2:CV2"/>
    <mergeCell ref="AU4:AU15"/>
    <mergeCell ref="AV4:AV15"/>
    <mergeCell ref="J4:J12"/>
    <mergeCell ref="I4:I12"/>
    <mergeCell ref="AQ4:AQ15"/>
    <mergeCell ref="AP4:AP15"/>
    <mergeCell ref="AJ4:AJ15"/>
    <mergeCell ref="AK4:AK15"/>
    <mergeCell ref="AM4:AM15"/>
    <mergeCell ref="AN4:AN15"/>
    <mergeCell ref="BG4:BG8"/>
    <mergeCell ref="BF4:BF8"/>
    <mergeCell ref="BG9:BG15"/>
    <mergeCell ref="BF9:BF15"/>
    <mergeCell ref="BI4:BI7"/>
    <mergeCell ref="BB4:BB15"/>
    <mergeCell ref="BA4:BA15"/>
    <mergeCell ref="AY4:AY15"/>
    <mergeCell ref="AX4:AX15"/>
    <mergeCell ref="BQ4:BQ8"/>
    <mergeCell ref="BR4:BR8"/>
    <mergeCell ref="BR9:BR15"/>
    <mergeCell ref="BK2:BM2"/>
    <mergeCell ref="BP2:BR2"/>
    <mergeCell ref="BS2:BU2"/>
    <mergeCell ref="BV2:BX2"/>
    <mergeCell ref="CA2:CC2"/>
    <mergeCell ref="CD2:CF2"/>
    <mergeCell ref="CG2:CI2"/>
    <mergeCell ref="BC2:BD2"/>
    <mergeCell ref="AT1:BD1"/>
    <mergeCell ref="BE1:BO1"/>
    <mergeCell ref="BN2:BO2"/>
    <mergeCell ref="BP1:BZ1"/>
    <mergeCell ref="BY2:BZ2"/>
    <mergeCell ref="CA1:CK1"/>
    <mergeCell ref="CJ2:CK2"/>
    <mergeCell ref="AI1:AS1"/>
    <mergeCell ref="AR2:AS2"/>
    <mergeCell ref="AL2:AN2"/>
    <mergeCell ref="AO2:AQ2"/>
    <mergeCell ref="AT2:AV2"/>
    <mergeCell ref="AW2:AY2"/>
    <mergeCell ref="AZ2:BB2"/>
    <mergeCell ref="BE2:BG2"/>
    <mergeCell ref="BH2:BJ2"/>
    <mergeCell ref="A1:A3"/>
    <mergeCell ref="B2:D2"/>
    <mergeCell ref="E2:G2"/>
    <mergeCell ref="H2:J2"/>
    <mergeCell ref="M2:O2"/>
    <mergeCell ref="P2:R2"/>
    <mergeCell ref="S2:U2"/>
    <mergeCell ref="X2:Z2"/>
    <mergeCell ref="AA2:AC2"/>
    <mergeCell ref="B1:L1"/>
    <mergeCell ref="M1:W1"/>
    <mergeCell ref="X1:AH1"/>
    <mergeCell ref="D4:D12"/>
    <mergeCell ref="C4:C12"/>
    <mergeCell ref="C13:C15"/>
    <mergeCell ref="D13:D15"/>
    <mergeCell ref="G4:G11"/>
    <mergeCell ref="F4:F11"/>
    <mergeCell ref="G12:G15"/>
    <mergeCell ref="F12:F15"/>
    <mergeCell ref="AI2:AK2"/>
    <mergeCell ref="K2:L2"/>
    <mergeCell ref="V2:W2"/>
    <mergeCell ref="AG2:AH2"/>
    <mergeCell ref="AD2:AF2"/>
    <mergeCell ref="K12:K15"/>
    <mergeCell ref="L12:L15"/>
    <mergeCell ref="I13:I15"/>
    <mergeCell ref="J13:J15"/>
    <mergeCell ref="K4:K11"/>
    <mergeCell ref="L4:L11"/>
    <mergeCell ref="CW1:DG1"/>
    <mergeCell ref="DF2:DG2"/>
    <mergeCell ref="DH1:DR1"/>
    <mergeCell ref="DQ2:DR2"/>
    <mergeCell ref="DS1:EC1"/>
    <mergeCell ref="EB2:EC2"/>
    <mergeCell ref="EM2:EN2"/>
    <mergeCell ref="ED1:EN1"/>
    <mergeCell ref="DS2:DU2"/>
    <mergeCell ref="DV2:DX2"/>
    <mergeCell ref="DY2:EA2"/>
    <mergeCell ref="DN2:DP2"/>
    <mergeCell ref="CO2:CQ2"/>
    <mergeCell ref="CR2:CT2"/>
    <mergeCell ref="ED2:EF2"/>
    <mergeCell ref="CL2:CN2"/>
    <mergeCell ref="EJ2:EL2"/>
    <mergeCell ref="EG2:EI2"/>
    <mergeCell ref="CW2:CY2"/>
    <mergeCell ref="CZ2:DB2"/>
    <mergeCell ref="DC2:DE2"/>
    <mergeCell ref="DH2:DJ2"/>
    <mergeCell ref="DK2:DM2"/>
    <mergeCell ref="DG4:DG8"/>
    <mergeCell ref="DQ4:DQ8"/>
    <mergeCell ref="DR4:DR8"/>
    <mergeCell ref="AR4:AR15"/>
    <mergeCell ref="AS4:AS15"/>
    <mergeCell ref="BC4:BC15"/>
    <mergeCell ref="BD4:BD15"/>
    <mergeCell ref="BL9:BL15"/>
    <mergeCell ref="BM9:BM15"/>
    <mergeCell ref="BN4:BN8"/>
    <mergeCell ref="BO4:BO8"/>
    <mergeCell ref="BW9:BW15"/>
    <mergeCell ref="BQ9:BQ15"/>
    <mergeCell ref="BT4:BT8"/>
    <mergeCell ref="BJ4:BJ7"/>
    <mergeCell ref="BJ8:BJ15"/>
    <mergeCell ref="BI8:BI15"/>
    <mergeCell ref="BM4:BM8"/>
    <mergeCell ref="BL4:BL8"/>
    <mergeCell ref="CC4:CC8"/>
    <mergeCell ref="CB4:CB8"/>
    <mergeCell ref="CB9:CB15"/>
    <mergeCell ref="CC9:CC15"/>
    <mergeCell ref="BX9:BX15"/>
    <mergeCell ref="DG9:DG15"/>
    <mergeCell ref="DQ9:DQ15"/>
    <mergeCell ref="DR9:DR15"/>
    <mergeCell ref="BN9:BN15"/>
    <mergeCell ref="BO9:BO15"/>
    <mergeCell ref="BY9:BY15"/>
    <mergeCell ref="BZ9:BZ15"/>
    <mergeCell ref="CJ9:CJ15"/>
    <mergeCell ref="CK9:CK15"/>
    <mergeCell ref="CU9:CU15"/>
    <mergeCell ref="CV9:CV15"/>
    <mergeCell ref="DF9:DF15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zoomScaleNormal="100" workbookViewId="0">
      <selection activeCell="K19" sqref="K19"/>
    </sheetView>
  </sheetViews>
  <sheetFormatPr defaultColWidth="8.85546875" defaultRowHeight="15"/>
  <cols>
    <col min="13" max="13" width="10.42578125" bestFit="1" customWidth="1"/>
    <col min="14" max="14" width="11.42578125" bestFit="1" customWidth="1"/>
    <col min="15" max="15" width="10.42578125" bestFit="1" customWidth="1"/>
    <col min="16" max="16" width="11.42578125" bestFit="1" customWidth="1"/>
    <col min="17" max="17" width="10.42578125" bestFit="1" customWidth="1"/>
    <col min="18" max="18" width="11.42578125" bestFit="1" customWidth="1"/>
    <col min="19" max="20" width="11.42578125" customWidth="1"/>
    <col min="22" max="22" width="12.28515625" customWidth="1"/>
    <col min="25" max="25" width="12.5703125" customWidth="1"/>
    <col min="28" max="28" width="12.140625" customWidth="1"/>
  </cols>
  <sheetData>
    <row r="1" spans="1:31">
      <c r="A1" s="1255"/>
      <c r="B1" s="1261" t="s">
        <v>0</v>
      </c>
      <c r="C1" s="1262"/>
      <c r="D1" s="1262"/>
      <c r="E1" s="1262"/>
      <c r="F1" s="1262"/>
      <c r="G1" s="1262"/>
      <c r="H1" s="1262"/>
      <c r="I1" s="1262"/>
      <c r="J1" s="1262"/>
      <c r="K1" s="1263"/>
      <c r="L1" s="1264"/>
      <c r="M1" s="1295" t="s">
        <v>89</v>
      </c>
      <c r="N1" s="1296"/>
      <c r="O1" s="1296"/>
      <c r="P1" s="1296"/>
      <c r="Q1" s="1296"/>
      <c r="R1" s="1296"/>
      <c r="S1" s="1297"/>
      <c r="T1" s="1298"/>
      <c r="U1" s="1265" t="s">
        <v>5</v>
      </c>
      <c r="V1" s="1266"/>
      <c r="W1" s="1266"/>
      <c r="X1" s="1266"/>
      <c r="Y1" s="1266"/>
      <c r="Z1" s="1266"/>
      <c r="AA1" s="1266"/>
      <c r="AB1" s="1266"/>
      <c r="AC1" s="1266"/>
      <c r="AD1" s="1267"/>
      <c r="AE1" s="1268"/>
    </row>
    <row r="2" spans="1:31">
      <c r="A2" s="1255"/>
      <c r="B2" s="1319">
        <v>2019</v>
      </c>
      <c r="C2" s="1320"/>
      <c r="D2" s="1320"/>
      <c r="E2" s="1319">
        <v>2020</v>
      </c>
      <c r="F2" s="1320"/>
      <c r="G2" s="1321"/>
      <c r="H2" s="1322">
        <v>2021</v>
      </c>
      <c r="I2" s="1320"/>
      <c r="J2" s="1321"/>
      <c r="K2" s="1319">
        <v>2022</v>
      </c>
      <c r="L2" s="1272"/>
      <c r="M2" s="1271">
        <v>2019</v>
      </c>
      <c r="N2" s="1292"/>
      <c r="O2" s="1271">
        <v>2020</v>
      </c>
      <c r="P2" s="1293"/>
      <c r="Q2" s="1294">
        <v>2021</v>
      </c>
      <c r="R2" s="1293"/>
      <c r="S2" s="1271">
        <v>2022</v>
      </c>
      <c r="T2" s="1272"/>
      <c r="U2" s="1252">
        <v>2019</v>
      </c>
      <c r="V2" s="1253"/>
      <c r="W2" s="1253"/>
      <c r="X2" s="1252">
        <v>2020</v>
      </c>
      <c r="Y2" s="1253"/>
      <c r="Z2" s="1254"/>
      <c r="AA2" s="1252">
        <v>2021</v>
      </c>
      <c r="AB2" s="1253"/>
      <c r="AC2" s="1254"/>
      <c r="AD2" s="1269">
        <v>2022</v>
      </c>
      <c r="AE2" s="1270"/>
    </row>
    <row r="3" spans="1:31" ht="30">
      <c r="A3" s="1255"/>
      <c r="B3" s="1" t="s">
        <v>1</v>
      </c>
      <c r="C3" s="2" t="s">
        <v>2</v>
      </c>
      <c r="D3" s="2" t="s">
        <v>3</v>
      </c>
      <c r="E3" s="1" t="s">
        <v>1</v>
      </c>
      <c r="F3" s="2" t="s">
        <v>2</v>
      </c>
      <c r="G3" s="3" t="s">
        <v>3</v>
      </c>
      <c r="H3" s="2" t="s">
        <v>1</v>
      </c>
      <c r="I3" s="2" t="s">
        <v>2</v>
      </c>
      <c r="J3" s="3" t="s">
        <v>3</v>
      </c>
      <c r="K3" s="2" t="s">
        <v>1</v>
      </c>
      <c r="L3" s="2" t="s">
        <v>3</v>
      </c>
      <c r="M3" s="1" t="s">
        <v>2</v>
      </c>
      <c r="N3" s="2" t="s">
        <v>3</v>
      </c>
      <c r="O3" s="1" t="s">
        <v>2</v>
      </c>
      <c r="P3" s="3" t="s">
        <v>3</v>
      </c>
      <c r="Q3" s="2" t="s">
        <v>2</v>
      </c>
      <c r="R3" s="3" t="s">
        <v>3</v>
      </c>
      <c r="S3" s="2" t="s">
        <v>1</v>
      </c>
      <c r="T3" s="2" t="s">
        <v>3</v>
      </c>
      <c r="U3" s="7" t="s">
        <v>6</v>
      </c>
      <c r="V3" s="8" t="s">
        <v>7</v>
      </c>
      <c r="W3" s="8" t="s">
        <v>3</v>
      </c>
      <c r="X3" s="7" t="s">
        <v>6</v>
      </c>
      <c r="Y3" s="8" t="s">
        <v>7</v>
      </c>
      <c r="Z3" s="9" t="s">
        <v>3</v>
      </c>
      <c r="AA3" s="7" t="s">
        <v>6</v>
      </c>
      <c r="AB3" s="8" t="s">
        <v>7</v>
      </c>
      <c r="AC3" s="9" t="s">
        <v>3</v>
      </c>
      <c r="AD3" s="367" t="s">
        <v>6</v>
      </c>
      <c r="AE3" s="368">
        <v>2022</v>
      </c>
    </row>
    <row r="4" spans="1:31">
      <c r="A4" s="14" t="s">
        <v>35</v>
      </c>
      <c r="B4" s="404"/>
      <c r="C4" s="34">
        <v>9134</v>
      </c>
      <c r="D4" s="34">
        <v>44185.52</v>
      </c>
      <c r="E4" s="417"/>
      <c r="F4" s="34">
        <v>9157</v>
      </c>
      <c r="G4" s="36">
        <v>43324</v>
      </c>
      <c r="H4" s="404"/>
      <c r="I4" s="1133">
        <v>4663</v>
      </c>
      <c r="J4" s="36">
        <v>32784</v>
      </c>
      <c r="K4" s="35">
        <v>13248</v>
      </c>
      <c r="L4" s="36">
        <v>48570</v>
      </c>
      <c r="M4" s="1419">
        <f>(571.685+71.678)/3.6*1000</f>
        <v>178711.94444444441</v>
      </c>
      <c r="N4" s="1460">
        <f>362097.57+45430.51</f>
        <v>407528.08</v>
      </c>
      <c r="O4" s="1419">
        <f>665.031/3.6*1000</f>
        <v>184730.83333333331</v>
      </c>
      <c r="P4" s="1460">
        <f>350270.68+49366.41</f>
        <v>399637.08999999997</v>
      </c>
      <c r="Q4" s="1419">
        <f>765.03/3.6*1000</f>
        <v>212508.33333333331</v>
      </c>
      <c r="R4" s="1460">
        <f>399794.56+52361.12</f>
        <v>452155.68</v>
      </c>
      <c r="S4" s="1288">
        <v>190712</v>
      </c>
      <c r="T4" s="1286">
        <v>685133.94</v>
      </c>
      <c r="U4" s="42">
        <v>42</v>
      </c>
      <c r="V4" s="1391">
        <f>113</f>
        <v>113</v>
      </c>
      <c r="W4" s="1648">
        <f>(44.23+42.34)*113*1.15</f>
        <v>11249.771499999999</v>
      </c>
      <c r="X4" s="42">
        <v>43</v>
      </c>
      <c r="Y4" s="1391">
        <f>121</f>
        <v>121</v>
      </c>
      <c r="Z4" s="1648">
        <f>(46.15+43.76)*121*1.15</f>
        <v>12510.976499999997</v>
      </c>
      <c r="AA4" s="42">
        <v>21</v>
      </c>
      <c r="AB4" s="1391">
        <v>77</v>
      </c>
      <c r="AC4" s="1608">
        <f>(48.88+46.36)*77*1.1</f>
        <v>8066.8280000000013</v>
      </c>
      <c r="AD4" s="1386">
        <v>111</v>
      </c>
      <c r="AE4" s="1647">
        <v>12482.282999999999</v>
      </c>
    </row>
    <row r="5" spans="1:31">
      <c r="A5" s="15" t="s">
        <v>36</v>
      </c>
      <c r="B5" s="172"/>
      <c r="C5" s="33">
        <v>7885</v>
      </c>
      <c r="D5" s="33">
        <v>40324</v>
      </c>
      <c r="E5" s="171"/>
      <c r="F5" s="33">
        <v>7945</v>
      </c>
      <c r="G5" s="38">
        <v>40138</v>
      </c>
      <c r="H5" s="172"/>
      <c r="I5" s="1134">
        <v>4755</v>
      </c>
      <c r="J5" s="38">
        <v>33401</v>
      </c>
      <c r="K5" s="37">
        <v>12356</v>
      </c>
      <c r="L5" s="38">
        <v>45955</v>
      </c>
      <c r="M5" s="1420"/>
      <c r="N5" s="1461"/>
      <c r="O5" s="1420"/>
      <c r="P5" s="1461"/>
      <c r="Q5" s="1420"/>
      <c r="R5" s="1461"/>
      <c r="S5" s="1465"/>
      <c r="T5" s="1389"/>
      <c r="U5" s="43">
        <v>39</v>
      </c>
      <c r="V5" s="1426"/>
      <c r="W5" s="1649"/>
      <c r="X5" s="43">
        <v>43</v>
      </c>
      <c r="Y5" s="1426"/>
      <c r="Z5" s="1649"/>
      <c r="AA5" s="43">
        <v>22</v>
      </c>
      <c r="AB5" s="1426"/>
      <c r="AC5" s="1609"/>
      <c r="AD5" s="1304"/>
      <c r="AE5" s="1306"/>
    </row>
    <row r="6" spans="1:31">
      <c r="A6" s="15" t="s">
        <v>37</v>
      </c>
      <c r="B6" s="172"/>
      <c r="C6" s="33">
        <v>7959</v>
      </c>
      <c r="D6" s="51">
        <v>43031</v>
      </c>
      <c r="E6" s="171"/>
      <c r="F6" s="33">
        <v>5364</v>
      </c>
      <c r="G6" s="38">
        <v>33368</v>
      </c>
      <c r="H6" s="172"/>
      <c r="I6" s="1134">
        <v>5282</v>
      </c>
      <c r="J6" s="38">
        <v>35792</v>
      </c>
      <c r="K6" s="37">
        <v>13171</v>
      </c>
      <c r="L6" s="38">
        <v>48303</v>
      </c>
      <c r="M6" s="1420"/>
      <c r="N6" s="1461"/>
      <c r="O6" s="1420"/>
      <c r="P6" s="1461"/>
      <c r="Q6" s="1420"/>
      <c r="R6" s="1461"/>
      <c r="S6" s="1465"/>
      <c r="T6" s="1389"/>
      <c r="U6" s="43">
        <v>45</v>
      </c>
      <c r="V6" s="1426"/>
      <c r="W6" s="1649"/>
      <c r="X6" s="43">
        <v>33</v>
      </c>
      <c r="Y6" s="1426"/>
      <c r="Z6" s="1649"/>
      <c r="AA6" s="43">
        <v>24</v>
      </c>
      <c r="AB6" s="1426"/>
      <c r="AC6" s="1609"/>
      <c r="AD6" s="1304"/>
      <c r="AE6" s="1306"/>
    </row>
    <row r="7" spans="1:31">
      <c r="A7" s="15" t="s">
        <v>38</v>
      </c>
      <c r="B7" s="172"/>
      <c r="C7" s="33">
        <v>9040</v>
      </c>
      <c r="D7" s="33">
        <v>56248</v>
      </c>
      <c r="E7" s="171"/>
      <c r="F7" s="33">
        <v>4279</v>
      </c>
      <c r="G7" s="38">
        <v>30054</v>
      </c>
      <c r="H7" s="172"/>
      <c r="I7" s="1134">
        <v>6460</v>
      </c>
      <c r="J7" s="38">
        <v>39445</v>
      </c>
      <c r="K7" s="37">
        <v>12619</v>
      </c>
      <c r="L7" s="38">
        <v>51424</v>
      </c>
      <c r="M7" s="1420"/>
      <c r="N7" s="1461"/>
      <c r="O7" s="1420"/>
      <c r="P7" s="1461"/>
      <c r="Q7" s="1420"/>
      <c r="R7" s="1461"/>
      <c r="S7" s="1465"/>
      <c r="T7" s="1389"/>
      <c r="U7" s="43">
        <v>48</v>
      </c>
      <c r="V7" s="1426">
        <v>409</v>
      </c>
      <c r="W7" s="1649">
        <f>(44.23+42.34)*409*1.15</f>
        <v>40718.199499999995</v>
      </c>
      <c r="X7" s="43">
        <v>29</v>
      </c>
      <c r="Y7" s="1426">
        <f>38+256</f>
        <v>294</v>
      </c>
      <c r="Z7" s="1649">
        <f>(46.15+43.76)*38*1.15+(46.15+43.76)*256*1.1</f>
        <v>29247.723000000002</v>
      </c>
      <c r="AA7" s="43">
        <v>45</v>
      </c>
      <c r="AB7" s="1645">
        <v>426</v>
      </c>
      <c r="AC7" s="1646">
        <v>44629.45</v>
      </c>
      <c r="AD7" s="1304">
        <v>507</v>
      </c>
      <c r="AE7" s="1306">
        <v>57013.671000000002</v>
      </c>
    </row>
    <row r="8" spans="1:31">
      <c r="A8" s="15" t="s">
        <v>39</v>
      </c>
      <c r="B8" s="172"/>
      <c r="C8" s="33">
        <v>10348</v>
      </c>
      <c r="D8" s="33">
        <v>64413</v>
      </c>
      <c r="E8" s="171"/>
      <c r="F8" s="33">
        <v>8102</v>
      </c>
      <c r="G8" s="38">
        <v>47170</v>
      </c>
      <c r="H8" s="172"/>
      <c r="I8" s="1134">
        <v>8683</v>
      </c>
      <c r="J8" s="38">
        <v>52686</v>
      </c>
      <c r="K8" s="37">
        <v>18353</v>
      </c>
      <c r="L8" s="38">
        <v>61457</v>
      </c>
      <c r="M8" s="1420"/>
      <c r="N8" s="1461"/>
      <c r="O8" s="1420"/>
      <c r="P8" s="1461"/>
      <c r="Q8" s="1420"/>
      <c r="R8" s="1461"/>
      <c r="S8" s="1465"/>
      <c r="T8" s="1389"/>
      <c r="U8" s="43">
        <v>50</v>
      </c>
      <c r="V8" s="1426"/>
      <c r="W8" s="1649"/>
      <c r="X8" s="43">
        <v>30</v>
      </c>
      <c r="Y8" s="1426"/>
      <c r="Z8" s="1649"/>
      <c r="AA8" s="43">
        <v>57</v>
      </c>
      <c r="AB8" s="1364"/>
      <c r="AC8" s="1317"/>
      <c r="AD8" s="1289"/>
      <c r="AE8" s="1317"/>
    </row>
    <row r="9" spans="1:31">
      <c r="A9" s="15" t="s">
        <v>40</v>
      </c>
      <c r="B9" s="172"/>
      <c r="C9" s="33">
        <v>14634</v>
      </c>
      <c r="D9" s="33">
        <v>78117</v>
      </c>
      <c r="E9" s="171"/>
      <c r="F9" s="33">
        <v>10530</v>
      </c>
      <c r="G9" s="38">
        <v>54297</v>
      </c>
      <c r="H9" s="172"/>
      <c r="I9" s="1134">
        <v>12277</v>
      </c>
      <c r="J9" s="38">
        <v>81326</v>
      </c>
      <c r="K9" s="37">
        <v>18588</v>
      </c>
      <c r="L9" s="38">
        <v>70527</v>
      </c>
      <c r="M9" s="1420"/>
      <c r="N9" s="1461"/>
      <c r="O9" s="1420"/>
      <c r="P9" s="1461"/>
      <c r="Q9" s="1420"/>
      <c r="R9" s="1461"/>
      <c r="S9" s="1465"/>
      <c r="T9" s="1389"/>
      <c r="U9" s="43">
        <v>43</v>
      </c>
      <c r="V9" s="1426"/>
      <c r="W9" s="1649"/>
      <c r="X9" s="43">
        <v>46</v>
      </c>
      <c r="Y9" s="1426"/>
      <c r="Z9" s="1649"/>
      <c r="AA9" s="43">
        <v>52</v>
      </c>
      <c r="AB9" s="1364"/>
      <c r="AC9" s="1317"/>
      <c r="AD9" s="1289"/>
      <c r="AE9" s="1317"/>
    </row>
    <row r="10" spans="1:31">
      <c r="A10" s="15" t="s">
        <v>41</v>
      </c>
      <c r="B10" s="172"/>
      <c r="C10" s="33">
        <v>10897</v>
      </c>
      <c r="D10" s="33">
        <v>66501</v>
      </c>
      <c r="E10" s="171"/>
      <c r="F10" s="33">
        <v>8247</v>
      </c>
      <c r="G10" s="38">
        <v>54333</v>
      </c>
      <c r="H10" s="172"/>
      <c r="I10" s="1134">
        <v>9955</v>
      </c>
      <c r="J10" s="38">
        <v>69305</v>
      </c>
      <c r="K10" s="37">
        <v>16302</v>
      </c>
      <c r="L10" s="38">
        <v>62333</v>
      </c>
      <c r="M10" s="1420"/>
      <c r="N10" s="1461"/>
      <c r="O10" s="1420"/>
      <c r="P10" s="1461"/>
      <c r="Q10" s="1420"/>
      <c r="R10" s="1461"/>
      <c r="S10" s="1465"/>
      <c r="T10" s="1389"/>
      <c r="U10" s="43">
        <v>42</v>
      </c>
      <c r="V10" s="1426"/>
      <c r="W10" s="1649"/>
      <c r="X10" s="43">
        <v>43</v>
      </c>
      <c r="Y10" s="1426"/>
      <c r="Z10" s="1649"/>
      <c r="AA10" s="43">
        <v>43</v>
      </c>
      <c r="AB10" s="1364"/>
      <c r="AC10" s="1317"/>
      <c r="AD10" s="1289"/>
      <c r="AE10" s="1317"/>
    </row>
    <row r="11" spans="1:31">
      <c r="A11" s="15" t="s">
        <v>42</v>
      </c>
      <c r="B11" s="172"/>
      <c r="C11" s="33">
        <v>8463</v>
      </c>
      <c r="D11" s="33">
        <v>59331</v>
      </c>
      <c r="E11" s="171"/>
      <c r="F11" s="33">
        <v>10279</v>
      </c>
      <c r="G11" s="38">
        <v>60379</v>
      </c>
      <c r="H11" s="172"/>
      <c r="I11" s="1134">
        <v>9586</v>
      </c>
      <c r="J11" s="38">
        <v>64809</v>
      </c>
      <c r="K11" s="37">
        <v>17501</v>
      </c>
      <c r="L11" s="38">
        <v>66345</v>
      </c>
      <c r="M11" s="1420"/>
      <c r="N11" s="1461"/>
      <c r="O11" s="1420"/>
      <c r="P11" s="1461"/>
      <c r="Q11" s="1420"/>
      <c r="R11" s="1461"/>
      <c r="S11" s="1465"/>
      <c r="T11" s="1389"/>
      <c r="U11" s="43">
        <v>42</v>
      </c>
      <c r="V11" s="1426"/>
      <c r="W11" s="1649"/>
      <c r="X11" s="43">
        <v>47</v>
      </c>
      <c r="Y11" s="1426"/>
      <c r="Z11" s="1649"/>
      <c r="AA11" s="43">
        <v>52</v>
      </c>
      <c r="AB11" s="1364"/>
      <c r="AC11" s="1317"/>
      <c r="AD11" s="1289"/>
      <c r="AE11" s="1317"/>
    </row>
    <row r="12" spans="1:31">
      <c r="A12" s="15" t="s">
        <v>43</v>
      </c>
      <c r="B12" s="172"/>
      <c r="C12" s="33">
        <v>10427</v>
      </c>
      <c r="D12" s="33">
        <v>63968</v>
      </c>
      <c r="E12" s="171"/>
      <c r="F12" s="33">
        <v>9799</v>
      </c>
      <c r="G12" s="38">
        <v>58653</v>
      </c>
      <c r="H12" s="172"/>
      <c r="I12" s="1134">
        <v>9711</v>
      </c>
      <c r="J12" s="38">
        <v>61349</v>
      </c>
      <c r="K12" s="37">
        <v>14368</v>
      </c>
      <c r="L12" s="38">
        <v>53212</v>
      </c>
      <c r="M12" s="1420"/>
      <c r="N12" s="1461"/>
      <c r="O12" s="1420"/>
      <c r="P12" s="1461"/>
      <c r="Q12" s="1420"/>
      <c r="R12" s="1461"/>
      <c r="S12" s="1465"/>
      <c r="T12" s="1389"/>
      <c r="U12" s="43">
        <v>43</v>
      </c>
      <c r="V12" s="1426"/>
      <c r="W12" s="1649"/>
      <c r="X12" s="43">
        <v>43</v>
      </c>
      <c r="Y12" s="1426"/>
      <c r="Z12" s="1649"/>
      <c r="AA12" s="43">
        <v>48</v>
      </c>
      <c r="AB12" s="1364"/>
      <c r="AC12" s="1317"/>
      <c r="AD12" s="1289"/>
      <c r="AE12" s="1317"/>
    </row>
    <row r="13" spans="1:31">
      <c r="A13" s="15" t="s">
        <v>44</v>
      </c>
      <c r="B13" s="172"/>
      <c r="C13" s="33">
        <v>9823</v>
      </c>
      <c r="D13" s="33">
        <v>53454</v>
      </c>
      <c r="E13" s="171"/>
      <c r="F13" s="33">
        <v>7392</v>
      </c>
      <c r="G13" s="38">
        <v>44692</v>
      </c>
      <c r="H13" s="172"/>
      <c r="I13" s="1134">
        <v>8767</v>
      </c>
      <c r="J13" s="38">
        <v>55330</v>
      </c>
      <c r="K13" s="37">
        <v>10702</v>
      </c>
      <c r="L13" s="38">
        <v>37669</v>
      </c>
      <c r="M13" s="1420"/>
      <c r="N13" s="1461"/>
      <c r="O13" s="1420"/>
      <c r="P13" s="1461"/>
      <c r="Q13" s="1420"/>
      <c r="R13" s="1461"/>
      <c r="S13" s="1465"/>
      <c r="T13" s="1389"/>
      <c r="U13" s="43">
        <v>44</v>
      </c>
      <c r="V13" s="1426"/>
      <c r="W13" s="1649"/>
      <c r="X13" s="43">
        <v>32</v>
      </c>
      <c r="Y13" s="1426"/>
      <c r="Z13" s="1649"/>
      <c r="AA13" s="43">
        <v>44</v>
      </c>
      <c r="AB13" s="1364"/>
      <c r="AC13" s="1317"/>
      <c r="AD13" s="1289"/>
      <c r="AE13" s="1317"/>
    </row>
    <row r="14" spans="1:31">
      <c r="A14" s="15" t="s">
        <v>45</v>
      </c>
      <c r="B14" s="172"/>
      <c r="C14" s="33">
        <v>9281</v>
      </c>
      <c r="D14" s="33">
        <v>44807</v>
      </c>
      <c r="E14" s="171"/>
      <c r="F14" s="33">
        <v>4350</v>
      </c>
      <c r="G14" s="38">
        <v>31840</v>
      </c>
      <c r="H14" s="172"/>
      <c r="I14" s="1135">
        <v>8737</v>
      </c>
      <c r="J14" s="52">
        <v>40245</v>
      </c>
      <c r="K14" s="50">
        <v>12224</v>
      </c>
      <c r="L14" s="52">
        <v>36297</v>
      </c>
      <c r="M14" s="1420"/>
      <c r="N14" s="1461"/>
      <c r="O14" s="1420"/>
      <c r="P14" s="1461"/>
      <c r="Q14" s="1420"/>
      <c r="R14" s="1461"/>
      <c r="S14" s="1465"/>
      <c r="T14" s="1389"/>
      <c r="U14" s="43">
        <v>46</v>
      </c>
      <c r="V14" s="1426"/>
      <c r="W14" s="1649"/>
      <c r="X14" s="43">
        <v>15</v>
      </c>
      <c r="Y14" s="1426"/>
      <c r="Z14" s="1649"/>
      <c r="AA14" s="43">
        <v>41</v>
      </c>
      <c r="AB14" s="1364"/>
      <c r="AC14" s="1317"/>
      <c r="AD14" s="1289"/>
      <c r="AE14" s="1317"/>
    </row>
    <row r="15" spans="1:31">
      <c r="A15" s="16" t="s">
        <v>46</v>
      </c>
      <c r="B15" s="172"/>
      <c r="C15" s="33">
        <v>7712</v>
      </c>
      <c r="D15" s="33">
        <v>40358</v>
      </c>
      <c r="E15" s="171"/>
      <c r="F15" s="33">
        <v>6798</v>
      </c>
      <c r="G15" s="38">
        <v>38727</v>
      </c>
      <c r="H15" s="172"/>
      <c r="I15" s="1135">
        <v>7991</v>
      </c>
      <c r="J15" s="52">
        <v>37649</v>
      </c>
      <c r="K15" s="190">
        <v>12570</v>
      </c>
      <c r="L15" s="191">
        <v>41433.79</v>
      </c>
      <c r="M15" s="1421"/>
      <c r="N15" s="1462"/>
      <c r="O15" s="1421"/>
      <c r="P15" s="1462"/>
      <c r="Q15" s="1421"/>
      <c r="R15" s="1462"/>
      <c r="S15" s="1466"/>
      <c r="T15" s="1390"/>
      <c r="U15" s="43">
        <v>37</v>
      </c>
      <c r="V15" s="1440"/>
      <c r="W15" s="1650"/>
      <c r="X15" s="43">
        <v>30</v>
      </c>
      <c r="Y15" s="1440"/>
      <c r="Z15" s="1650"/>
      <c r="AA15" s="43">
        <v>34</v>
      </c>
      <c r="AB15" s="1366"/>
      <c r="AC15" s="1318"/>
      <c r="AD15" s="1290"/>
      <c r="AE15" s="1318"/>
    </row>
    <row r="16" spans="1:31">
      <c r="A16" s="13" t="s">
        <v>4</v>
      </c>
      <c r="B16" s="39"/>
      <c r="C16" s="40">
        <f>SUM(C4:C15)</f>
        <v>115603</v>
      </c>
      <c r="D16" s="40">
        <f t="shared" ref="D16:AC16" si="0">SUM(D4:D15)</f>
        <v>654737.52</v>
      </c>
      <c r="E16" s="40">
        <f t="shared" si="0"/>
        <v>0</v>
      </c>
      <c r="F16" s="40">
        <f t="shared" si="0"/>
        <v>92242</v>
      </c>
      <c r="G16" s="40">
        <f t="shared" si="0"/>
        <v>536975</v>
      </c>
      <c r="H16" s="40">
        <f t="shared" si="0"/>
        <v>0</v>
      </c>
      <c r="I16" s="40">
        <f t="shared" si="0"/>
        <v>96867</v>
      </c>
      <c r="J16" s="40">
        <f t="shared" si="0"/>
        <v>604121</v>
      </c>
      <c r="K16" s="39">
        <f>SUM(K4:K15)</f>
        <v>172002</v>
      </c>
      <c r="L16" s="41">
        <f>SUM(L4:L15)</f>
        <v>623525.79</v>
      </c>
      <c r="M16" s="54">
        <f t="shared" si="0"/>
        <v>178711.94444444441</v>
      </c>
      <c r="N16" s="54">
        <f t="shared" si="0"/>
        <v>407528.08</v>
      </c>
      <c r="O16" s="54">
        <f t="shared" si="0"/>
        <v>184730.83333333331</v>
      </c>
      <c r="P16" s="54">
        <f t="shared" si="0"/>
        <v>399637.08999999997</v>
      </c>
      <c r="Q16" s="54">
        <f t="shared" si="0"/>
        <v>212508.33333333331</v>
      </c>
      <c r="R16" s="54">
        <f t="shared" si="0"/>
        <v>452155.68</v>
      </c>
      <c r="S16" s="129">
        <f>SUM(S4:S15)</f>
        <v>190712</v>
      </c>
      <c r="T16" s="130">
        <f>SUM(T4:T15)</f>
        <v>685133.94</v>
      </c>
      <c r="U16" s="456">
        <f t="shared" si="0"/>
        <v>521</v>
      </c>
      <c r="V16" s="456">
        <f t="shared" si="0"/>
        <v>522</v>
      </c>
      <c r="W16" s="457">
        <f t="shared" si="0"/>
        <v>51967.97099999999</v>
      </c>
      <c r="X16" s="456">
        <f t="shared" si="0"/>
        <v>434</v>
      </c>
      <c r="Y16" s="456">
        <f t="shared" si="0"/>
        <v>415</v>
      </c>
      <c r="Z16" s="457">
        <f t="shared" si="0"/>
        <v>41758.699500000002</v>
      </c>
      <c r="AA16" s="456">
        <f t="shared" si="0"/>
        <v>483</v>
      </c>
      <c r="AB16" s="456">
        <f t="shared" si="0"/>
        <v>503</v>
      </c>
      <c r="AC16" s="457">
        <f t="shared" si="0"/>
        <v>52696.277999999998</v>
      </c>
      <c r="AD16" s="452">
        <f>SUM(AD4:AD15)</f>
        <v>618</v>
      </c>
      <c r="AE16" s="437">
        <f>SUM(AE4:AE15)</f>
        <v>69495.953999999998</v>
      </c>
    </row>
    <row r="17" spans="1:20">
      <c r="A17">
        <v>1.21</v>
      </c>
      <c r="I17" s="1136" t="s">
        <v>322</v>
      </c>
      <c r="M17" s="91"/>
      <c r="N17" s="91"/>
      <c r="O17" s="91"/>
      <c r="P17" s="91"/>
      <c r="Q17" s="91"/>
      <c r="R17" s="91"/>
      <c r="S17" s="91"/>
      <c r="T17" s="91"/>
    </row>
  </sheetData>
  <mergeCells count="40">
    <mergeCell ref="AD7:AD15"/>
    <mergeCell ref="AE7:AE15"/>
    <mergeCell ref="S4:S15"/>
    <mergeCell ref="T4:T15"/>
    <mergeCell ref="AD4:AD6"/>
    <mergeCell ref="AE4:AE6"/>
    <mergeCell ref="AC4:AC6"/>
    <mergeCell ref="AB4:AB6"/>
    <mergeCell ref="V4:V6"/>
    <mergeCell ref="W4:W6"/>
    <mergeCell ref="V7:V15"/>
    <mergeCell ref="W7:W15"/>
    <mergeCell ref="Z4:Z6"/>
    <mergeCell ref="Y4:Y6"/>
    <mergeCell ref="Z7:Z15"/>
    <mergeCell ref="Y7:Y15"/>
    <mergeCell ref="AB7:AB15"/>
    <mergeCell ref="AC7:AC15"/>
    <mergeCell ref="Q4:Q15"/>
    <mergeCell ref="R4:R15"/>
    <mergeCell ref="O4:O15"/>
    <mergeCell ref="P4:P15"/>
    <mergeCell ref="M4:M15"/>
    <mergeCell ref="N4:N15"/>
    <mergeCell ref="O2:P2"/>
    <mergeCell ref="Q2:R2"/>
    <mergeCell ref="B1:L1"/>
    <mergeCell ref="K2:L2"/>
    <mergeCell ref="M1:T1"/>
    <mergeCell ref="S2:T2"/>
    <mergeCell ref="A1:A3"/>
    <mergeCell ref="B2:D2"/>
    <mergeCell ref="E2:G2"/>
    <mergeCell ref="H2:J2"/>
    <mergeCell ref="M2:N2"/>
    <mergeCell ref="AD2:AE2"/>
    <mergeCell ref="U1:AE1"/>
    <mergeCell ref="U2:W2"/>
    <mergeCell ref="X2:Z2"/>
    <mergeCell ref="AA2:AC2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21"/>
  <sheetViews>
    <sheetView zoomScale="70" zoomScaleNormal="70" workbookViewId="0">
      <pane xSplit="1" topLeftCell="B1" activePane="topRight" state="frozen"/>
      <selection pane="topRight" activeCell="T25" sqref="T25"/>
    </sheetView>
  </sheetViews>
  <sheetFormatPr defaultColWidth="8.85546875" defaultRowHeight="15"/>
  <cols>
    <col min="12" max="12" width="10.140625" bestFit="1" customWidth="1"/>
    <col min="21" max="21" width="9.5703125" bestFit="1" customWidth="1"/>
    <col min="23" max="23" width="9.5703125" bestFit="1" customWidth="1"/>
    <col min="24" max="24" width="10.42578125" bestFit="1" customWidth="1"/>
    <col min="25" max="25" width="11.42578125" bestFit="1" customWidth="1"/>
    <col min="26" max="26" width="10.42578125" bestFit="1" customWidth="1"/>
    <col min="27" max="27" width="11.42578125" bestFit="1" customWidth="1"/>
    <col min="28" max="28" width="10.42578125" bestFit="1" customWidth="1"/>
    <col min="29" max="29" width="11.42578125" bestFit="1" customWidth="1"/>
    <col min="30" max="31" width="11.42578125" customWidth="1"/>
    <col min="42" max="42" width="9.5703125" bestFit="1" customWidth="1"/>
  </cols>
  <sheetData>
    <row r="1" spans="1:42">
      <c r="A1" s="1255"/>
      <c r="B1" s="1653" t="s">
        <v>94</v>
      </c>
      <c r="C1" s="1654"/>
      <c r="D1" s="1654"/>
      <c r="E1" s="1654"/>
      <c r="F1" s="1654"/>
      <c r="G1" s="1654"/>
      <c r="H1" s="1654"/>
      <c r="I1" s="1654"/>
      <c r="J1" s="1654"/>
      <c r="K1" s="1263"/>
      <c r="L1" s="1264"/>
      <c r="M1" s="1653" t="s">
        <v>95</v>
      </c>
      <c r="N1" s="1654"/>
      <c r="O1" s="1654"/>
      <c r="P1" s="1654"/>
      <c r="Q1" s="1654"/>
      <c r="R1" s="1654"/>
      <c r="S1" s="1654"/>
      <c r="T1" s="1654"/>
      <c r="U1" s="1654"/>
      <c r="V1" s="1263"/>
      <c r="W1" s="1264"/>
      <c r="X1" s="1651" t="s">
        <v>89</v>
      </c>
      <c r="Y1" s="1652"/>
      <c r="Z1" s="1652"/>
      <c r="AA1" s="1652"/>
      <c r="AB1" s="1652"/>
      <c r="AC1" s="1652"/>
      <c r="AD1" s="1297"/>
      <c r="AE1" s="1298"/>
      <c r="AF1" s="1659" t="s">
        <v>5</v>
      </c>
      <c r="AG1" s="1660"/>
      <c r="AH1" s="1660"/>
      <c r="AI1" s="1660"/>
      <c r="AJ1" s="1660"/>
      <c r="AK1" s="1660"/>
      <c r="AL1" s="1660"/>
      <c r="AM1" s="1660"/>
      <c r="AN1" s="1660"/>
      <c r="AO1" s="1267"/>
      <c r="AP1" s="1268"/>
    </row>
    <row r="2" spans="1:42">
      <c r="A2" s="1255"/>
      <c r="B2" s="1319">
        <v>2019</v>
      </c>
      <c r="C2" s="1320"/>
      <c r="D2" s="1320"/>
      <c r="E2" s="1319">
        <v>2020</v>
      </c>
      <c r="F2" s="1320"/>
      <c r="G2" s="1321"/>
      <c r="H2" s="1322">
        <v>2021</v>
      </c>
      <c r="I2" s="1320"/>
      <c r="J2" s="1321"/>
      <c r="K2" s="1319">
        <v>2022</v>
      </c>
      <c r="L2" s="1272"/>
      <c r="M2" s="1322">
        <v>2019</v>
      </c>
      <c r="N2" s="1320"/>
      <c r="O2" s="1320"/>
      <c r="P2" s="1319">
        <v>2020</v>
      </c>
      <c r="Q2" s="1320"/>
      <c r="R2" s="1321"/>
      <c r="S2" s="1322">
        <v>2021</v>
      </c>
      <c r="T2" s="1320"/>
      <c r="U2" s="1321"/>
      <c r="V2" s="1319">
        <v>2022</v>
      </c>
      <c r="W2" s="1272"/>
      <c r="X2" s="1271">
        <v>2019</v>
      </c>
      <c r="Y2" s="1292"/>
      <c r="Z2" s="1271">
        <v>2020</v>
      </c>
      <c r="AA2" s="1293"/>
      <c r="AB2" s="1294">
        <v>2021</v>
      </c>
      <c r="AC2" s="1293"/>
      <c r="AD2" s="1271">
        <v>2022</v>
      </c>
      <c r="AE2" s="1272"/>
      <c r="AF2" s="1252">
        <v>2019</v>
      </c>
      <c r="AG2" s="1253"/>
      <c r="AH2" s="1253"/>
      <c r="AI2" s="1252">
        <v>2020</v>
      </c>
      <c r="AJ2" s="1253"/>
      <c r="AK2" s="1254"/>
      <c r="AL2" s="1252">
        <v>2021</v>
      </c>
      <c r="AM2" s="1253"/>
      <c r="AN2" s="1254"/>
      <c r="AO2" s="1269">
        <v>2022</v>
      </c>
      <c r="AP2" s="1270"/>
    </row>
    <row r="3" spans="1:42" ht="30">
      <c r="A3" s="1255"/>
      <c r="B3" s="1" t="s">
        <v>1</v>
      </c>
      <c r="C3" s="2" t="s">
        <v>2</v>
      </c>
      <c r="D3" s="2" t="s">
        <v>3</v>
      </c>
      <c r="E3" s="1" t="s">
        <v>1</v>
      </c>
      <c r="F3" s="2" t="s">
        <v>2</v>
      </c>
      <c r="G3" s="3" t="s">
        <v>3</v>
      </c>
      <c r="H3" s="2" t="s">
        <v>1</v>
      </c>
      <c r="I3" s="2" t="s">
        <v>2</v>
      </c>
      <c r="J3" s="3" t="s">
        <v>3</v>
      </c>
      <c r="K3" s="1" t="s">
        <v>1</v>
      </c>
      <c r="L3" s="3" t="s">
        <v>3</v>
      </c>
      <c r="M3" s="2" t="s">
        <v>1</v>
      </c>
      <c r="N3" s="2" t="s">
        <v>2</v>
      </c>
      <c r="O3" s="2" t="s">
        <v>3</v>
      </c>
      <c r="P3" s="1" t="s">
        <v>1</v>
      </c>
      <c r="Q3" s="2" t="s">
        <v>2</v>
      </c>
      <c r="R3" s="3" t="s">
        <v>3</v>
      </c>
      <c r="S3" s="2" t="s">
        <v>1</v>
      </c>
      <c r="T3" s="2" t="s">
        <v>2</v>
      </c>
      <c r="U3" s="3" t="s">
        <v>3</v>
      </c>
      <c r="V3" s="2" t="s">
        <v>2</v>
      </c>
      <c r="W3" s="3" t="s">
        <v>3</v>
      </c>
      <c r="X3" s="1" t="s">
        <v>2</v>
      </c>
      <c r="Y3" s="2" t="s">
        <v>3</v>
      </c>
      <c r="Z3" s="1" t="s">
        <v>2</v>
      </c>
      <c r="AA3" s="3" t="s">
        <v>3</v>
      </c>
      <c r="AB3" s="2" t="s">
        <v>2</v>
      </c>
      <c r="AC3" s="3" t="s">
        <v>3</v>
      </c>
      <c r="AD3" s="2" t="s">
        <v>1</v>
      </c>
      <c r="AE3" s="2" t="s">
        <v>3</v>
      </c>
      <c r="AF3" s="7" t="s">
        <v>6</v>
      </c>
      <c r="AG3" s="8" t="s">
        <v>7</v>
      </c>
      <c r="AH3" s="8" t="s">
        <v>3</v>
      </c>
      <c r="AI3" s="7" t="s">
        <v>6</v>
      </c>
      <c r="AJ3" s="8" t="s">
        <v>7</v>
      </c>
      <c r="AK3" s="9" t="s">
        <v>3</v>
      </c>
      <c r="AL3" s="7" t="s">
        <v>6</v>
      </c>
      <c r="AM3" s="8" t="s">
        <v>7</v>
      </c>
      <c r="AN3" s="9" t="s">
        <v>3</v>
      </c>
      <c r="AO3" s="367" t="s">
        <v>6</v>
      </c>
      <c r="AP3" s="368" t="s">
        <v>3</v>
      </c>
    </row>
    <row r="4" spans="1:42">
      <c r="A4" s="14" t="s">
        <v>35</v>
      </c>
      <c r="B4" s="34">
        <v>398</v>
      </c>
      <c r="C4" s="34">
        <v>4354</v>
      </c>
      <c r="D4" s="34">
        <v>16495</v>
      </c>
      <c r="E4" s="35">
        <v>458</v>
      </c>
      <c r="F4" s="404">
        <f>2668+1207</f>
        <v>3875</v>
      </c>
      <c r="G4" s="405">
        <v>15034</v>
      </c>
      <c r="H4" s="404">
        <v>821</v>
      </c>
      <c r="I4" s="404">
        <f>1440+691</f>
        <v>2131</v>
      </c>
      <c r="J4" s="405">
        <v>10166</v>
      </c>
      <c r="K4" s="417">
        <f>2499+1140</f>
        <v>3639</v>
      </c>
      <c r="L4" s="408">
        <v>16719</v>
      </c>
      <c r="M4" s="404"/>
      <c r="N4" s="158">
        <v>165</v>
      </c>
      <c r="O4" s="34">
        <v>933</v>
      </c>
      <c r="P4" s="35">
        <v>3933</v>
      </c>
      <c r="Q4" s="1576">
        <v>584</v>
      </c>
      <c r="R4" s="1574">
        <v>2561.61</v>
      </c>
      <c r="S4" s="34">
        <v>2758</v>
      </c>
      <c r="T4" s="404">
        <f>343+115</f>
        <v>458</v>
      </c>
      <c r="U4" s="408">
        <v>820.52</v>
      </c>
      <c r="V4" s="595">
        <f>300+77</f>
        <v>377</v>
      </c>
      <c r="W4" s="595">
        <v>2138.7800000000002</v>
      </c>
      <c r="X4" s="1419">
        <v>277087</v>
      </c>
      <c r="Y4" s="1460">
        <v>631880</v>
      </c>
      <c r="Z4" s="1419">
        <v>255829</v>
      </c>
      <c r="AA4" s="1460">
        <v>553448</v>
      </c>
      <c r="AB4" s="1419">
        <v>309167</v>
      </c>
      <c r="AC4" s="1460">
        <v>657807</v>
      </c>
      <c r="AD4" s="1288">
        <v>270061</v>
      </c>
      <c r="AE4" s="1286">
        <v>970197</v>
      </c>
      <c r="AF4" s="42">
        <v>42</v>
      </c>
      <c r="AG4" s="1391">
        <v>464</v>
      </c>
      <c r="AH4" s="1392">
        <v>46451</v>
      </c>
      <c r="AI4" s="42">
        <v>39</v>
      </c>
      <c r="AJ4" s="1467">
        <v>291</v>
      </c>
      <c r="AK4" s="1468">
        <v>29442</v>
      </c>
      <c r="AL4" s="418">
        <v>18</v>
      </c>
      <c r="AM4" s="1467">
        <v>525</v>
      </c>
      <c r="AN4" s="1468">
        <v>54948</v>
      </c>
      <c r="AO4" s="1661">
        <v>452</v>
      </c>
      <c r="AP4" s="1387">
        <v>50690</v>
      </c>
    </row>
    <row r="5" spans="1:42">
      <c r="A5" s="15" t="s">
        <v>36</v>
      </c>
      <c r="B5" s="33">
        <v>312</v>
      </c>
      <c r="C5" s="33">
        <v>4179</v>
      </c>
      <c r="D5" s="33">
        <v>15977</v>
      </c>
      <c r="E5" s="37">
        <v>380</v>
      </c>
      <c r="F5" s="172">
        <f>2750+1200</f>
        <v>3950</v>
      </c>
      <c r="G5" s="406">
        <v>15357</v>
      </c>
      <c r="H5" s="172">
        <v>272</v>
      </c>
      <c r="I5" s="172">
        <f>1336+671</f>
        <v>2007</v>
      </c>
      <c r="J5" s="406">
        <v>9629</v>
      </c>
      <c r="K5" s="171">
        <f>2407+1073</f>
        <v>3480</v>
      </c>
      <c r="L5" s="407">
        <v>16110</v>
      </c>
      <c r="M5" s="172"/>
      <c r="N5" s="157">
        <v>340</v>
      </c>
      <c r="O5" s="33">
        <v>1514</v>
      </c>
      <c r="P5" s="37">
        <v>3495</v>
      </c>
      <c r="Q5" s="1577"/>
      <c r="R5" s="1575"/>
      <c r="S5" s="33">
        <v>1913</v>
      </c>
      <c r="T5" s="172">
        <v>29</v>
      </c>
      <c r="U5" s="407">
        <v>232.27</v>
      </c>
      <c r="V5" s="177">
        <f>155+42</f>
        <v>197</v>
      </c>
      <c r="W5" s="177">
        <v>1109.22</v>
      </c>
      <c r="X5" s="1420"/>
      <c r="Y5" s="1461"/>
      <c r="Z5" s="1420"/>
      <c r="AA5" s="1461"/>
      <c r="AB5" s="1420"/>
      <c r="AC5" s="1461"/>
      <c r="AD5" s="1465"/>
      <c r="AE5" s="1389"/>
      <c r="AF5" s="43">
        <v>46</v>
      </c>
      <c r="AG5" s="1426"/>
      <c r="AH5" s="1408"/>
      <c r="AI5" s="43">
        <v>39</v>
      </c>
      <c r="AJ5" s="1338"/>
      <c r="AK5" s="1306"/>
      <c r="AL5" s="419">
        <v>13</v>
      </c>
      <c r="AM5" s="1338"/>
      <c r="AN5" s="1306"/>
      <c r="AO5" s="1304"/>
      <c r="AP5" s="1306"/>
    </row>
    <row r="6" spans="1:42">
      <c r="A6" s="15" t="s">
        <v>37</v>
      </c>
      <c r="B6" s="33">
        <v>352</v>
      </c>
      <c r="C6" s="33">
        <v>4594</v>
      </c>
      <c r="D6" s="51">
        <v>17303</v>
      </c>
      <c r="E6" s="37">
        <v>354</v>
      </c>
      <c r="F6" s="172">
        <f>2065+927</f>
        <v>2992</v>
      </c>
      <c r="G6" s="406">
        <v>12007</v>
      </c>
      <c r="H6" s="172">
        <v>248</v>
      </c>
      <c r="I6" s="172">
        <f>1236+630</f>
        <v>1866</v>
      </c>
      <c r="J6" s="406">
        <v>9059</v>
      </c>
      <c r="K6" s="171">
        <f>2956+1284</f>
        <v>4240</v>
      </c>
      <c r="L6" s="407">
        <v>19254.259999999998</v>
      </c>
      <c r="M6" s="33">
        <v>3853</v>
      </c>
      <c r="N6" s="1655">
        <v>4351</v>
      </c>
      <c r="O6" s="1461">
        <v>19084.900000000001</v>
      </c>
      <c r="P6" s="37">
        <v>3101</v>
      </c>
      <c r="Q6" s="144"/>
      <c r="R6" s="145"/>
      <c r="S6" s="33">
        <v>1714</v>
      </c>
      <c r="T6" s="172">
        <f>325+69</f>
        <v>394</v>
      </c>
      <c r="U6" s="407">
        <v>2036.78</v>
      </c>
      <c r="V6" s="177">
        <f>229+61</f>
        <v>290</v>
      </c>
      <c r="W6" s="177">
        <v>1635.02</v>
      </c>
      <c r="X6" s="1420"/>
      <c r="Y6" s="1461"/>
      <c r="Z6" s="1420"/>
      <c r="AA6" s="1461"/>
      <c r="AB6" s="1420"/>
      <c r="AC6" s="1461"/>
      <c r="AD6" s="1465"/>
      <c r="AE6" s="1389"/>
      <c r="AF6" s="43">
        <v>55</v>
      </c>
      <c r="AG6" s="1426"/>
      <c r="AH6" s="1408"/>
      <c r="AI6" s="43">
        <v>24</v>
      </c>
      <c r="AJ6" s="1338"/>
      <c r="AK6" s="1306"/>
      <c r="AL6" s="419">
        <v>6.4</v>
      </c>
      <c r="AM6" s="1338"/>
      <c r="AN6" s="1306"/>
      <c r="AO6" s="1304"/>
      <c r="AP6" s="1306"/>
    </row>
    <row r="7" spans="1:42">
      <c r="A7" s="15" t="s">
        <v>38</v>
      </c>
      <c r="B7" s="33">
        <v>405</v>
      </c>
      <c r="C7" s="33">
        <v>4426</v>
      </c>
      <c r="D7" s="33">
        <v>16730</v>
      </c>
      <c r="E7" s="37">
        <v>300</v>
      </c>
      <c r="F7" s="172">
        <f>811+398</f>
        <v>1209</v>
      </c>
      <c r="G7" s="406">
        <v>5817</v>
      </c>
      <c r="H7" s="172">
        <v>271</v>
      </c>
      <c r="I7" s="172">
        <f>1196+599</f>
        <v>1795</v>
      </c>
      <c r="J7" s="406">
        <v>8794</v>
      </c>
      <c r="K7" s="171">
        <f>2754+1217</f>
        <v>3971</v>
      </c>
      <c r="L7" s="407">
        <v>18125.099999999999</v>
      </c>
      <c r="M7" s="33">
        <v>4685</v>
      </c>
      <c r="N7" s="1655"/>
      <c r="O7" s="1461"/>
      <c r="P7" s="37">
        <v>1767</v>
      </c>
      <c r="Q7" s="144"/>
      <c r="R7" s="145"/>
      <c r="S7" s="33">
        <v>1771</v>
      </c>
      <c r="T7" s="172">
        <f>181+59</f>
        <v>240</v>
      </c>
      <c r="U7" s="407">
        <v>1338.15</v>
      </c>
      <c r="V7" s="177">
        <f>217+66</f>
        <v>283</v>
      </c>
      <c r="W7" s="177">
        <v>1591.13</v>
      </c>
      <c r="X7" s="1420"/>
      <c r="Y7" s="1461"/>
      <c r="Z7" s="1420"/>
      <c r="AA7" s="1461"/>
      <c r="AB7" s="1420"/>
      <c r="AC7" s="1461"/>
      <c r="AD7" s="1465"/>
      <c r="AE7" s="1389"/>
      <c r="AF7" s="43">
        <v>54</v>
      </c>
      <c r="AG7" s="1426"/>
      <c r="AH7" s="1408"/>
      <c r="AI7" s="43">
        <v>13</v>
      </c>
      <c r="AJ7" s="1338"/>
      <c r="AK7" s="1306"/>
      <c r="AL7" s="419">
        <v>3.9</v>
      </c>
      <c r="AM7" s="1338"/>
      <c r="AN7" s="1306"/>
      <c r="AO7" s="1304"/>
      <c r="AP7" s="1306"/>
    </row>
    <row r="8" spans="1:42">
      <c r="A8" s="15" t="s">
        <v>39</v>
      </c>
      <c r="B8" s="33">
        <v>420</v>
      </c>
      <c r="C8" s="33">
        <v>4412</v>
      </c>
      <c r="D8" s="33">
        <v>16744</v>
      </c>
      <c r="E8" s="37">
        <v>338</v>
      </c>
      <c r="F8" s="172">
        <f>1236+636</f>
        <v>1872</v>
      </c>
      <c r="G8" s="406">
        <v>8030</v>
      </c>
      <c r="H8" s="172">
        <v>280</v>
      </c>
      <c r="I8" s="172">
        <f>1275+610</f>
        <v>1885</v>
      </c>
      <c r="J8" s="406">
        <v>9191</v>
      </c>
      <c r="K8" s="171">
        <f>2738+1160</f>
        <v>3898</v>
      </c>
      <c r="L8" s="407">
        <v>17902.3</v>
      </c>
      <c r="M8" s="33">
        <v>4230</v>
      </c>
      <c r="N8" s="1655"/>
      <c r="O8" s="1461"/>
      <c r="P8" s="37">
        <v>1772</v>
      </c>
      <c r="Q8" s="144"/>
      <c r="R8" s="145"/>
      <c r="S8" s="33">
        <v>2045</v>
      </c>
      <c r="T8" s="172">
        <f>219+67</f>
        <v>286</v>
      </c>
      <c r="U8" s="407">
        <v>1535.97</v>
      </c>
      <c r="V8" s="177">
        <f>248+50</f>
        <v>298</v>
      </c>
      <c r="W8" s="177">
        <v>1696.6</v>
      </c>
      <c r="X8" s="1420"/>
      <c r="Y8" s="1461"/>
      <c r="Z8" s="1420"/>
      <c r="AA8" s="1461"/>
      <c r="AB8" s="1420"/>
      <c r="AC8" s="1461"/>
      <c r="AD8" s="1465"/>
      <c r="AE8" s="1389"/>
      <c r="AF8" s="43">
        <v>34</v>
      </c>
      <c r="AG8" s="1426"/>
      <c r="AH8" s="1408"/>
      <c r="AI8" s="43">
        <v>18</v>
      </c>
      <c r="AJ8" s="1338"/>
      <c r="AK8" s="1306"/>
      <c r="AL8" s="419">
        <v>11</v>
      </c>
      <c r="AM8" s="1338"/>
      <c r="AN8" s="1306"/>
      <c r="AO8" s="1304"/>
      <c r="AP8" s="1306"/>
    </row>
    <row r="9" spans="1:42">
      <c r="A9" s="15" t="s">
        <v>40</v>
      </c>
      <c r="B9" s="33">
        <v>383</v>
      </c>
      <c r="C9" s="33">
        <v>4789</v>
      </c>
      <c r="D9" s="33">
        <v>17958</v>
      </c>
      <c r="E9" s="37">
        <v>276</v>
      </c>
      <c r="F9" s="172">
        <f>1710+840</f>
        <v>2550</v>
      </c>
      <c r="G9" s="406">
        <v>10378</v>
      </c>
      <c r="H9" s="172">
        <v>281</v>
      </c>
      <c r="I9" s="172">
        <f>2219+1065</f>
        <v>3284</v>
      </c>
      <c r="J9" s="406">
        <v>14748</v>
      </c>
      <c r="K9" s="171">
        <f>2451+1028</f>
        <v>3479</v>
      </c>
      <c r="L9" s="407">
        <v>16203.03</v>
      </c>
      <c r="M9" s="33">
        <v>4440</v>
      </c>
      <c r="N9" s="1655"/>
      <c r="O9" s="1461"/>
      <c r="P9" s="37">
        <v>1957</v>
      </c>
      <c r="Q9" s="144"/>
      <c r="R9" s="145"/>
      <c r="S9" s="33">
        <v>3047</v>
      </c>
      <c r="T9" s="172">
        <f>211+58</f>
        <v>269</v>
      </c>
      <c r="U9" s="407">
        <v>1475.96</v>
      </c>
      <c r="V9" s="177">
        <f>153+108</f>
        <v>261</v>
      </c>
      <c r="W9" s="177">
        <v>1396.46</v>
      </c>
      <c r="X9" s="1420"/>
      <c r="Y9" s="1461"/>
      <c r="Z9" s="1420"/>
      <c r="AA9" s="1461"/>
      <c r="AB9" s="1420"/>
      <c r="AC9" s="1461"/>
      <c r="AD9" s="1465"/>
      <c r="AE9" s="1389"/>
      <c r="AF9" s="43">
        <v>29</v>
      </c>
      <c r="AG9" s="1426"/>
      <c r="AH9" s="1408"/>
      <c r="AI9" s="43">
        <v>22</v>
      </c>
      <c r="AJ9" s="1338"/>
      <c r="AK9" s="1306"/>
      <c r="AL9" s="419">
        <v>21</v>
      </c>
      <c r="AM9" s="1338"/>
      <c r="AN9" s="1306"/>
      <c r="AO9" s="1304"/>
      <c r="AP9" s="1306"/>
    </row>
    <row r="10" spans="1:42">
      <c r="A10" s="15" t="s">
        <v>41</v>
      </c>
      <c r="B10" s="33">
        <v>457</v>
      </c>
      <c r="C10" s="33">
        <v>2150</v>
      </c>
      <c r="D10" s="33">
        <v>9021</v>
      </c>
      <c r="E10" s="37">
        <v>345</v>
      </c>
      <c r="F10" s="172">
        <f>1553+679</f>
        <v>2232</v>
      </c>
      <c r="G10" s="406">
        <v>9416</v>
      </c>
      <c r="H10" s="172">
        <v>297</v>
      </c>
      <c r="I10" s="172">
        <f>2376+891</f>
        <v>3267</v>
      </c>
      <c r="J10" s="406">
        <v>12046</v>
      </c>
      <c r="K10" s="171">
        <f>2078+788</f>
        <v>2866</v>
      </c>
      <c r="L10" s="407">
        <v>13817.99</v>
      </c>
      <c r="M10" s="33">
        <v>2769</v>
      </c>
      <c r="N10" s="1655"/>
      <c r="O10" s="1461"/>
      <c r="P10" s="37">
        <v>2504</v>
      </c>
      <c r="Q10" s="144"/>
      <c r="R10" s="145"/>
      <c r="S10" s="33">
        <v>3614</v>
      </c>
      <c r="T10" s="172">
        <f>220+69</f>
        <v>289</v>
      </c>
      <c r="U10" s="407">
        <v>1545.67</v>
      </c>
      <c r="V10" s="1480">
        <f>381.25+710.43</f>
        <v>1091.6799999999998</v>
      </c>
      <c r="W10" s="1481">
        <v>4917.37</v>
      </c>
      <c r="X10" s="1420"/>
      <c r="Y10" s="1461"/>
      <c r="Z10" s="1420"/>
      <c r="AA10" s="1461"/>
      <c r="AB10" s="1420"/>
      <c r="AC10" s="1461"/>
      <c r="AD10" s="1465"/>
      <c r="AE10" s="1389"/>
      <c r="AF10" s="43">
        <v>19</v>
      </c>
      <c r="AG10" s="1426"/>
      <c r="AH10" s="1408"/>
      <c r="AI10" s="43">
        <v>25</v>
      </c>
      <c r="AJ10" s="1338"/>
      <c r="AK10" s="1306"/>
      <c r="AL10" s="419">
        <v>7.4</v>
      </c>
      <c r="AM10" s="1338"/>
      <c r="AN10" s="1306"/>
      <c r="AO10" s="1304"/>
      <c r="AP10" s="1306"/>
    </row>
    <row r="11" spans="1:42">
      <c r="A11" s="15" t="s">
        <v>42</v>
      </c>
      <c r="B11" s="33">
        <v>437</v>
      </c>
      <c r="C11" s="33">
        <v>2503</v>
      </c>
      <c r="D11" s="33">
        <v>10266</v>
      </c>
      <c r="E11" s="37">
        <v>145</v>
      </c>
      <c r="F11" s="172">
        <f>1663+744</f>
        <v>2407</v>
      </c>
      <c r="G11" s="406">
        <v>9996</v>
      </c>
      <c r="H11" s="172">
        <v>257</v>
      </c>
      <c r="I11" s="172">
        <f>2375+1054</f>
        <v>3429</v>
      </c>
      <c r="J11" s="406">
        <v>15450</v>
      </c>
      <c r="K11" s="171">
        <f>2143+866</f>
        <v>3009</v>
      </c>
      <c r="L11" s="407">
        <v>9347.86</v>
      </c>
      <c r="M11" s="33">
        <v>2740</v>
      </c>
      <c r="N11" s="1655"/>
      <c r="O11" s="1461"/>
      <c r="P11" s="37">
        <v>2674</v>
      </c>
      <c r="Q11" s="144"/>
      <c r="R11" s="145"/>
      <c r="S11" s="33">
        <v>3054</v>
      </c>
      <c r="T11" s="172">
        <f>233+62</f>
        <v>295</v>
      </c>
      <c r="U11" s="407">
        <v>1588.91</v>
      </c>
      <c r="V11" s="1289"/>
      <c r="W11" s="1317"/>
      <c r="X11" s="1420"/>
      <c r="Y11" s="1461"/>
      <c r="Z11" s="1420"/>
      <c r="AA11" s="1461"/>
      <c r="AB11" s="1420"/>
      <c r="AC11" s="1461"/>
      <c r="AD11" s="1465"/>
      <c r="AE11" s="1389"/>
      <c r="AF11" s="43">
        <v>27</v>
      </c>
      <c r="AG11" s="1426"/>
      <c r="AH11" s="1408"/>
      <c r="AI11" s="43">
        <v>30</v>
      </c>
      <c r="AJ11" s="1338"/>
      <c r="AK11" s="1306"/>
      <c r="AL11" s="419">
        <v>4.4999999999999998E-2</v>
      </c>
      <c r="AM11" s="1338"/>
      <c r="AN11" s="1306"/>
      <c r="AO11" s="1304"/>
      <c r="AP11" s="1306"/>
    </row>
    <row r="12" spans="1:42">
      <c r="A12" s="15" t="s">
        <v>43</v>
      </c>
      <c r="B12" s="33">
        <v>414</v>
      </c>
      <c r="C12" s="33">
        <v>3139</v>
      </c>
      <c r="D12" s="33">
        <v>12408</v>
      </c>
      <c r="E12" s="37">
        <v>81</v>
      </c>
      <c r="F12" s="172">
        <v>2848</v>
      </c>
      <c r="G12" s="406">
        <v>11497</v>
      </c>
      <c r="H12" s="172">
        <v>277</v>
      </c>
      <c r="I12" s="172">
        <f>2405+1034</f>
        <v>3439</v>
      </c>
      <c r="J12" s="406">
        <v>15540</v>
      </c>
      <c r="K12" s="171">
        <f>2263+1011</f>
        <v>3274</v>
      </c>
      <c r="L12" s="407">
        <v>15269</v>
      </c>
      <c r="M12" s="33">
        <v>2974</v>
      </c>
      <c r="N12" s="1655"/>
      <c r="O12" s="1461"/>
      <c r="P12" s="37">
        <v>2773</v>
      </c>
      <c r="Q12" s="144"/>
      <c r="R12" s="145"/>
      <c r="S12" s="33">
        <v>3373</v>
      </c>
      <c r="T12" s="172">
        <f>212+55</f>
        <v>267</v>
      </c>
      <c r="U12" s="407">
        <v>1473.14</v>
      </c>
      <c r="V12" s="1289"/>
      <c r="W12" s="1317"/>
      <c r="X12" s="1420"/>
      <c r="Y12" s="1461"/>
      <c r="Z12" s="1420"/>
      <c r="AA12" s="1461"/>
      <c r="AB12" s="1420"/>
      <c r="AC12" s="1461"/>
      <c r="AD12" s="1465"/>
      <c r="AE12" s="1389"/>
      <c r="AF12" s="43">
        <v>32</v>
      </c>
      <c r="AG12" s="1426"/>
      <c r="AH12" s="1408"/>
      <c r="AI12" s="43">
        <v>27</v>
      </c>
      <c r="AJ12" s="1338"/>
      <c r="AK12" s="1306"/>
      <c r="AL12" s="419">
        <v>61</v>
      </c>
      <c r="AM12" s="1338"/>
      <c r="AN12" s="1306"/>
      <c r="AO12" s="1304"/>
      <c r="AP12" s="1306"/>
    </row>
    <row r="13" spans="1:42">
      <c r="A13" s="15" t="s">
        <v>44</v>
      </c>
      <c r="B13" s="33">
        <v>403</v>
      </c>
      <c r="C13" s="33">
        <v>3914</v>
      </c>
      <c r="D13" s="33">
        <v>15050</v>
      </c>
      <c r="E13" s="37">
        <v>84</v>
      </c>
      <c r="F13" s="172">
        <f>1646+738</f>
        <v>2384</v>
      </c>
      <c r="G13" s="406">
        <v>9914</v>
      </c>
      <c r="H13" s="172">
        <v>342</v>
      </c>
      <c r="I13" s="172">
        <f>2760+1250</f>
        <v>4010</v>
      </c>
      <c r="J13" s="406">
        <v>17743</v>
      </c>
      <c r="K13" s="171">
        <f>2525+1167</f>
        <v>3692</v>
      </c>
      <c r="L13" s="407">
        <v>14700</v>
      </c>
      <c r="M13" s="33">
        <v>3615</v>
      </c>
      <c r="N13" s="1655"/>
      <c r="O13" s="1461"/>
      <c r="P13" s="37">
        <v>2142</v>
      </c>
      <c r="Q13" s="144"/>
      <c r="R13" s="145"/>
      <c r="S13" s="33">
        <v>4238</v>
      </c>
      <c r="T13" s="172">
        <f>246+67</f>
        <v>313</v>
      </c>
      <c r="U13" s="407">
        <v>1662.26</v>
      </c>
      <c r="V13" s="1289"/>
      <c r="W13" s="1317"/>
      <c r="X13" s="1420"/>
      <c r="Y13" s="1461"/>
      <c r="Z13" s="1420"/>
      <c r="AA13" s="1461"/>
      <c r="AB13" s="1420"/>
      <c r="AC13" s="1461"/>
      <c r="AD13" s="1465"/>
      <c r="AE13" s="1389"/>
      <c r="AF13" s="43">
        <v>43</v>
      </c>
      <c r="AG13" s="1426"/>
      <c r="AH13" s="1408"/>
      <c r="AI13" s="43">
        <v>18</v>
      </c>
      <c r="AJ13" s="1338"/>
      <c r="AK13" s="1306"/>
      <c r="AL13" s="419">
        <v>38</v>
      </c>
      <c r="AM13" s="1338"/>
      <c r="AN13" s="1306"/>
      <c r="AO13" s="1304"/>
      <c r="AP13" s="1306"/>
    </row>
    <row r="14" spans="1:42">
      <c r="A14" s="15" t="s">
        <v>45</v>
      </c>
      <c r="B14" s="33">
        <v>445</v>
      </c>
      <c r="C14" s="33">
        <v>3699</v>
      </c>
      <c r="D14" s="33">
        <v>14357</v>
      </c>
      <c r="E14" s="37">
        <v>81</v>
      </c>
      <c r="F14" s="172">
        <f>1299+638</f>
        <v>1937</v>
      </c>
      <c r="G14" s="406">
        <v>8293</v>
      </c>
      <c r="H14" s="172">
        <v>341</v>
      </c>
      <c r="I14" s="173">
        <f>2665+1194</f>
        <v>3859</v>
      </c>
      <c r="J14" s="410">
        <v>17158</v>
      </c>
      <c r="K14" s="524">
        <f>2422+1146</f>
        <v>3568</v>
      </c>
      <c r="L14" s="407">
        <v>14233</v>
      </c>
      <c r="M14" s="33">
        <v>3856</v>
      </c>
      <c r="N14" s="1655"/>
      <c r="O14" s="1461"/>
      <c r="P14" s="37">
        <v>1368</v>
      </c>
      <c r="Q14" s="144"/>
      <c r="R14" s="145"/>
      <c r="S14" s="33">
        <v>3944</v>
      </c>
      <c r="T14" s="529">
        <f>269+66</f>
        <v>335</v>
      </c>
      <c r="U14" s="407">
        <v>1460.6</v>
      </c>
      <c r="V14" s="1657">
        <f>0+419</f>
        <v>419</v>
      </c>
      <c r="W14" s="1658">
        <v>1563.1</v>
      </c>
      <c r="X14" s="1420"/>
      <c r="Y14" s="1461"/>
      <c r="Z14" s="1420"/>
      <c r="AA14" s="1461"/>
      <c r="AB14" s="1420"/>
      <c r="AC14" s="1461"/>
      <c r="AD14" s="1465"/>
      <c r="AE14" s="1389"/>
      <c r="AF14" s="43">
        <v>50</v>
      </c>
      <c r="AG14" s="1426"/>
      <c r="AH14" s="1408"/>
      <c r="AI14" s="43">
        <v>9.6</v>
      </c>
      <c r="AJ14" s="1338"/>
      <c r="AK14" s="1306"/>
      <c r="AL14" s="419">
        <v>31</v>
      </c>
      <c r="AM14" s="1338"/>
      <c r="AN14" s="1306"/>
      <c r="AO14" s="1304"/>
      <c r="AP14" s="1306"/>
    </row>
    <row r="15" spans="1:42">
      <c r="A15" s="16" t="s">
        <v>46</v>
      </c>
      <c r="B15" s="33">
        <v>432</v>
      </c>
      <c r="C15" s="33">
        <v>3809</v>
      </c>
      <c r="D15" s="33">
        <v>14676</v>
      </c>
      <c r="E15" s="37">
        <v>600</v>
      </c>
      <c r="F15" s="172">
        <f>1423+675</f>
        <v>2098</v>
      </c>
      <c r="G15" s="406">
        <v>8875</v>
      </c>
      <c r="H15" s="172">
        <v>323</v>
      </c>
      <c r="I15" s="173">
        <f>2543+1139</f>
        <v>3682</v>
      </c>
      <c r="J15" s="410">
        <v>16449</v>
      </c>
      <c r="K15" s="535">
        <f>2737+1151</f>
        <v>3888</v>
      </c>
      <c r="L15" s="536">
        <v>15545</v>
      </c>
      <c r="M15" s="33">
        <v>3853</v>
      </c>
      <c r="N15" s="1656"/>
      <c r="O15" s="1462"/>
      <c r="P15" s="37">
        <v>2311</v>
      </c>
      <c r="Q15" s="144"/>
      <c r="R15" s="145"/>
      <c r="S15" s="33">
        <v>3753</v>
      </c>
      <c r="T15" s="529">
        <f>271.3+76.91</f>
        <v>348.21000000000004</v>
      </c>
      <c r="U15" s="407">
        <v>1805.44</v>
      </c>
      <c r="V15" s="1592"/>
      <c r="W15" s="1593"/>
      <c r="X15" s="1421"/>
      <c r="Y15" s="1462"/>
      <c r="Z15" s="1421"/>
      <c r="AA15" s="1462"/>
      <c r="AB15" s="1421"/>
      <c r="AC15" s="1462"/>
      <c r="AD15" s="1466"/>
      <c r="AE15" s="1390"/>
      <c r="AF15" s="43">
        <v>43</v>
      </c>
      <c r="AG15" s="1440"/>
      <c r="AH15" s="1446"/>
      <c r="AI15" s="43">
        <v>13</v>
      </c>
      <c r="AJ15" s="1339"/>
      <c r="AK15" s="1307"/>
      <c r="AL15" s="419">
        <v>29</v>
      </c>
      <c r="AM15" s="1339"/>
      <c r="AN15" s="1307"/>
      <c r="AO15" s="1305"/>
      <c r="AP15" s="1307"/>
    </row>
    <row r="16" spans="1:42">
      <c r="A16" s="21" t="s">
        <v>4</v>
      </c>
      <c r="B16" s="39">
        <f t="shared" ref="B16:H16" si="0">SUM(B4:B15)</f>
        <v>4858</v>
      </c>
      <c r="C16" s="40">
        <f t="shared" si="0"/>
        <v>45968</v>
      </c>
      <c r="D16" s="40">
        <f t="shared" si="0"/>
        <v>176985</v>
      </c>
      <c r="E16" s="39">
        <f t="shared" si="0"/>
        <v>3442</v>
      </c>
      <c r="F16" s="40">
        <f t="shared" si="0"/>
        <v>30354</v>
      </c>
      <c r="G16" s="41">
        <f t="shared" si="0"/>
        <v>124614</v>
      </c>
      <c r="H16" s="40">
        <f t="shared" si="0"/>
        <v>4010</v>
      </c>
      <c r="I16" s="40">
        <f>SUM(I4:I15)</f>
        <v>34654</v>
      </c>
      <c r="J16" s="40">
        <f>SUM(J4:J15)</f>
        <v>155973</v>
      </c>
      <c r="K16" s="40">
        <f>SUM(K4:K15)</f>
        <v>43004</v>
      </c>
      <c r="L16" s="65">
        <f>SUM(L4:L15)</f>
        <v>187226.53999999998</v>
      </c>
      <c r="M16" s="39">
        <v>37015</v>
      </c>
      <c r="N16" s="40">
        <v>4643</v>
      </c>
      <c r="O16" s="40">
        <v>20594</v>
      </c>
      <c r="P16" s="39">
        <f>SUM(P4:P15)</f>
        <v>29797</v>
      </c>
      <c r="Q16" s="40">
        <f>SUM(Q4:Q15)</f>
        <v>584</v>
      </c>
      <c r="R16" s="41">
        <f>SUM(R4:R15)</f>
        <v>2561.61</v>
      </c>
      <c r="S16" s="40">
        <v>35223</v>
      </c>
      <c r="T16" s="40">
        <f>SUM(T4:T15)</f>
        <v>3523.21</v>
      </c>
      <c r="U16" s="130">
        <f>SUM(U4:U15)</f>
        <v>16975.669999999998</v>
      </c>
      <c r="V16" s="128">
        <f>SUM(V4:V15)</f>
        <v>3216.68</v>
      </c>
      <c r="W16" s="128">
        <f>SUM(W4:W15)</f>
        <v>16047.679999999998</v>
      </c>
      <c r="X16" s="53">
        <f t="shared" ref="X16:AH16" si="1">SUM(X4:X15)</f>
        <v>277087</v>
      </c>
      <c r="Y16" s="54">
        <f t="shared" si="1"/>
        <v>631880</v>
      </c>
      <c r="Z16" s="53">
        <f t="shared" si="1"/>
        <v>255829</v>
      </c>
      <c r="AA16" s="55">
        <f t="shared" si="1"/>
        <v>553448</v>
      </c>
      <c r="AB16" s="54">
        <f t="shared" si="1"/>
        <v>309167</v>
      </c>
      <c r="AC16" s="55">
        <f t="shared" si="1"/>
        <v>657807</v>
      </c>
      <c r="AD16" s="128">
        <f>SUM(AD4:AD15)</f>
        <v>270061</v>
      </c>
      <c r="AE16" s="128">
        <f>SUM(AE4:AE15)</f>
        <v>970197</v>
      </c>
      <c r="AF16" s="44">
        <f t="shared" si="1"/>
        <v>474</v>
      </c>
      <c r="AG16" s="45">
        <f t="shared" si="1"/>
        <v>464</v>
      </c>
      <c r="AH16" s="45">
        <f t="shared" si="1"/>
        <v>46451</v>
      </c>
      <c r="AI16" s="44">
        <f t="shared" ref="AI16:AN16" si="2">SUM(AI4:AI15)</f>
        <v>277.60000000000002</v>
      </c>
      <c r="AJ16" s="45">
        <f t="shared" si="2"/>
        <v>291</v>
      </c>
      <c r="AK16" s="46">
        <f t="shared" si="2"/>
        <v>29442</v>
      </c>
      <c r="AL16" s="44">
        <f t="shared" si="2"/>
        <v>239.745</v>
      </c>
      <c r="AM16" s="45">
        <f t="shared" si="2"/>
        <v>525</v>
      </c>
      <c r="AN16" s="46">
        <f t="shared" si="2"/>
        <v>54948</v>
      </c>
      <c r="AO16" s="420">
        <f>SUM(AO4:AO15)</f>
        <v>452</v>
      </c>
      <c r="AP16" s="421">
        <f>SUM(AP4:AP15)</f>
        <v>50690</v>
      </c>
    </row>
    <row r="21" spans="33:33">
      <c r="AG21">
        <f>AH16/AG16</f>
        <v>100.10991379310344</v>
      </c>
    </row>
  </sheetData>
  <mergeCells count="45">
    <mergeCell ref="AO4:AO15"/>
    <mergeCell ref="AP4:AP15"/>
    <mergeCell ref="AM4:AM15"/>
    <mergeCell ref="AN4:AN15"/>
    <mergeCell ref="AJ4:AJ15"/>
    <mergeCell ref="AK4:AK15"/>
    <mergeCell ref="AG4:AG15"/>
    <mergeCell ref="AH4:AH15"/>
    <mergeCell ref="AL2:AN2"/>
    <mergeCell ref="A1:A3"/>
    <mergeCell ref="M2:O2"/>
    <mergeCell ref="P2:R2"/>
    <mergeCell ref="S2:U2"/>
    <mergeCell ref="X2:Y2"/>
    <mergeCell ref="Z2:AA2"/>
    <mergeCell ref="AB2:AC2"/>
    <mergeCell ref="B2:D2"/>
    <mergeCell ref="E2:G2"/>
    <mergeCell ref="H2:J2"/>
    <mergeCell ref="AF2:AH2"/>
    <mergeCell ref="AF1:AP1"/>
    <mergeCell ref="AO2:AP2"/>
    <mergeCell ref="AD4:AD15"/>
    <mergeCell ref="AE4:AE15"/>
    <mergeCell ref="N6:N15"/>
    <mergeCell ref="O6:O15"/>
    <mergeCell ref="Q4:Q5"/>
    <mergeCell ref="R4:R5"/>
    <mergeCell ref="AC4:AC15"/>
    <mergeCell ref="AB4:AB15"/>
    <mergeCell ref="AA4:AA15"/>
    <mergeCell ref="Z4:Z15"/>
    <mergeCell ref="Y4:Y15"/>
    <mergeCell ref="X4:X15"/>
    <mergeCell ref="V10:V13"/>
    <mergeCell ref="W10:W13"/>
    <mergeCell ref="V14:V15"/>
    <mergeCell ref="W14:W15"/>
    <mergeCell ref="X1:AE1"/>
    <mergeCell ref="AD2:AE2"/>
    <mergeCell ref="AI2:AK2"/>
    <mergeCell ref="B1:L1"/>
    <mergeCell ref="K2:L2"/>
    <mergeCell ref="M1:W1"/>
    <mergeCell ref="V2:W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7"/>
  <sheetViews>
    <sheetView zoomScale="75" workbookViewId="0">
      <selection activeCell="B18" sqref="B18"/>
    </sheetView>
  </sheetViews>
  <sheetFormatPr defaultColWidth="8.85546875" defaultRowHeight="15"/>
  <cols>
    <col min="2" max="2" width="11.140625" customWidth="1"/>
    <col min="3" max="3" width="12.7109375" customWidth="1"/>
    <col min="4" max="5" width="11.140625" customWidth="1"/>
    <col min="6" max="6" width="12.7109375" customWidth="1"/>
    <col min="7" max="8" width="11.140625" customWidth="1"/>
    <col min="9" max="9" width="12.7109375" customWidth="1"/>
    <col min="10" max="12" width="11.140625" customWidth="1"/>
    <col min="13" max="13" width="12.28515625" customWidth="1"/>
    <col min="14" max="14" width="11.140625" customWidth="1"/>
    <col min="15" max="15" width="13.28515625" customWidth="1"/>
    <col min="16" max="16" width="11.140625" customWidth="1"/>
    <col min="17" max="17" width="12.28515625" customWidth="1"/>
    <col min="18" max="19" width="11.140625" customWidth="1"/>
    <col min="20" max="20" width="12.85546875" bestFit="1" customWidth="1"/>
    <col min="21" max="21" width="11.140625" customWidth="1"/>
    <col min="22" max="22" width="11.7109375" customWidth="1"/>
    <col min="23" max="24" width="11.140625" customWidth="1"/>
    <col min="25" max="25" width="11.5703125" customWidth="1"/>
    <col min="26" max="27" width="11.140625" customWidth="1"/>
    <col min="28" max="28" width="11.7109375" customWidth="1"/>
    <col min="29" max="29" width="11.140625" customWidth="1"/>
    <col min="31" max="31" width="11.42578125" bestFit="1" customWidth="1"/>
  </cols>
  <sheetData>
    <row r="1" spans="1:31">
      <c r="A1" s="1683" t="s">
        <v>31</v>
      </c>
      <c r="B1" s="1688" t="s">
        <v>0</v>
      </c>
      <c r="C1" s="1689"/>
      <c r="D1" s="1689"/>
      <c r="E1" s="1689"/>
      <c r="F1" s="1689"/>
      <c r="G1" s="1689"/>
      <c r="H1" s="1689"/>
      <c r="I1" s="1689"/>
      <c r="J1" s="1689"/>
      <c r="K1" s="1263"/>
      <c r="L1" s="1264"/>
      <c r="M1" s="1688" t="s">
        <v>32</v>
      </c>
      <c r="N1" s="1689"/>
      <c r="O1" s="1689"/>
      <c r="P1" s="1689"/>
      <c r="Q1" s="1689"/>
      <c r="R1" s="1689"/>
      <c r="S1" s="1263"/>
      <c r="T1" s="1264"/>
      <c r="U1" s="1703" t="s">
        <v>5</v>
      </c>
      <c r="V1" s="1704"/>
      <c r="W1" s="1704"/>
      <c r="X1" s="1704"/>
      <c r="Y1" s="1704"/>
      <c r="Z1" s="1704"/>
      <c r="AA1" s="1704"/>
      <c r="AB1" s="1704"/>
      <c r="AC1" s="1704"/>
      <c r="AD1" s="1705"/>
      <c r="AE1" s="1706"/>
    </row>
    <row r="2" spans="1:31">
      <c r="A2" s="1683"/>
      <c r="B2" s="1684">
        <v>2019</v>
      </c>
      <c r="C2" s="1685"/>
      <c r="D2" s="1685"/>
      <c r="E2" s="1684">
        <v>2020</v>
      </c>
      <c r="F2" s="1685"/>
      <c r="G2" s="1685"/>
      <c r="H2" s="1684">
        <v>2021</v>
      </c>
      <c r="I2" s="1685"/>
      <c r="J2" s="1685"/>
      <c r="K2" s="1690">
        <v>2022</v>
      </c>
      <c r="L2" s="1691"/>
      <c r="M2" s="1686">
        <v>2019</v>
      </c>
      <c r="N2" s="1687"/>
      <c r="O2" s="1686">
        <v>2020</v>
      </c>
      <c r="P2" s="1687"/>
      <c r="Q2" s="1686">
        <v>2021</v>
      </c>
      <c r="R2" s="1687"/>
      <c r="S2" s="1692">
        <v>2022</v>
      </c>
      <c r="T2" s="1691"/>
      <c r="U2" s="1669">
        <v>2019</v>
      </c>
      <c r="V2" s="1670"/>
      <c r="W2" s="1670"/>
      <c r="X2" s="1669">
        <v>2020</v>
      </c>
      <c r="Y2" s="1670"/>
      <c r="Z2" s="1670"/>
      <c r="AA2" s="1669">
        <v>2021</v>
      </c>
      <c r="AB2" s="1670"/>
      <c r="AC2" s="1693"/>
      <c r="AD2" s="1269">
        <v>2022</v>
      </c>
      <c r="AE2" s="1270"/>
    </row>
    <row r="3" spans="1:31">
      <c r="A3" s="1683"/>
      <c r="B3" s="20" t="s">
        <v>1</v>
      </c>
      <c r="C3" s="20" t="s">
        <v>2</v>
      </c>
      <c r="D3" s="20" t="s">
        <v>3</v>
      </c>
      <c r="E3" s="20" t="s">
        <v>1</v>
      </c>
      <c r="F3" s="20" t="s">
        <v>2</v>
      </c>
      <c r="G3" s="20" t="s">
        <v>3</v>
      </c>
      <c r="H3" s="20" t="s">
        <v>1</v>
      </c>
      <c r="I3" s="20" t="s">
        <v>2</v>
      </c>
      <c r="J3" s="376" t="s">
        <v>3</v>
      </c>
      <c r="K3" s="20" t="s">
        <v>151</v>
      </c>
      <c r="L3" s="20" t="s">
        <v>3</v>
      </c>
      <c r="M3" s="20" t="s">
        <v>2</v>
      </c>
      <c r="N3" s="20" t="s">
        <v>3</v>
      </c>
      <c r="O3" s="20" t="s">
        <v>2</v>
      </c>
      <c r="P3" s="20" t="s">
        <v>3</v>
      </c>
      <c r="Q3" s="20" t="s">
        <v>2</v>
      </c>
      <c r="R3" s="20" t="s">
        <v>3</v>
      </c>
      <c r="S3" s="20"/>
      <c r="T3" s="450"/>
      <c r="U3" s="20" t="s">
        <v>6</v>
      </c>
      <c r="V3" s="20" t="s">
        <v>7</v>
      </c>
      <c r="W3" s="20" t="s">
        <v>3</v>
      </c>
      <c r="X3" s="20" t="s">
        <v>6</v>
      </c>
      <c r="Y3" s="20" t="s">
        <v>7</v>
      </c>
      <c r="Z3" s="20" t="s">
        <v>3</v>
      </c>
      <c r="AA3" s="20" t="s">
        <v>6</v>
      </c>
      <c r="AB3" s="20" t="s">
        <v>7</v>
      </c>
      <c r="AC3" s="376" t="s">
        <v>3</v>
      </c>
      <c r="AD3" s="452" t="s">
        <v>6</v>
      </c>
      <c r="AE3" s="389" t="s">
        <v>152</v>
      </c>
    </row>
    <row r="4" spans="1:31">
      <c r="A4" s="17" t="s">
        <v>35</v>
      </c>
      <c r="B4" s="208">
        <v>13070</v>
      </c>
      <c r="C4" s="209">
        <v>13072</v>
      </c>
      <c r="D4" s="209">
        <v>51148</v>
      </c>
      <c r="E4" s="208">
        <v>12805</v>
      </c>
      <c r="F4" s="209">
        <v>13225</v>
      </c>
      <c r="G4" s="209">
        <v>51909</v>
      </c>
      <c r="H4" s="208">
        <v>11958</v>
      </c>
      <c r="I4" s="209">
        <v>12118</v>
      </c>
      <c r="J4" s="209">
        <v>54677</v>
      </c>
      <c r="K4" s="208">
        <f>8577+2171</f>
        <v>10748</v>
      </c>
      <c r="L4" s="377">
        <v>50097</v>
      </c>
      <c r="M4" s="1694">
        <f>1318.5/3.6*1000</f>
        <v>366250</v>
      </c>
      <c r="N4" s="1673">
        <v>829705.68</v>
      </c>
      <c r="O4" s="1671">
        <f>1351.3/3.6*1000</f>
        <v>375361.11111111107</v>
      </c>
      <c r="P4" s="1673">
        <v>812036.71</v>
      </c>
      <c r="Q4" s="1671">
        <f>1528.726/3.6*1000</f>
        <v>424646.11111111112</v>
      </c>
      <c r="R4" s="1673">
        <v>903522.93</v>
      </c>
      <c r="S4" s="1671">
        <v>363075</v>
      </c>
      <c r="T4" s="1672">
        <v>1304350.3</v>
      </c>
      <c r="U4" s="209">
        <v>91</v>
      </c>
      <c r="V4" s="1679">
        <v>247</v>
      </c>
      <c r="W4" s="1673">
        <f>(44.23+42.34)*247*1.15</f>
        <v>24590.208499999993</v>
      </c>
      <c r="X4" s="209">
        <v>90</v>
      </c>
      <c r="Y4" s="1679">
        <v>334</v>
      </c>
      <c r="Z4" s="1673">
        <f>(46.15+43.76)*334*1.15</f>
        <v>34534.430999999997</v>
      </c>
      <c r="AA4" s="209">
        <v>83</v>
      </c>
      <c r="AB4" s="1663">
        <v>206</v>
      </c>
      <c r="AC4" s="1665">
        <v>21581.38</v>
      </c>
      <c r="AD4" s="1662">
        <v>210</v>
      </c>
      <c r="AE4" s="1561">
        <v>23615.13</v>
      </c>
    </row>
    <row r="5" spans="1:31">
      <c r="A5" s="18" t="s">
        <v>36</v>
      </c>
      <c r="B5" s="210">
        <v>10926</v>
      </c>
      <c r="C5" s="211">
        <v>10886</v>
      </c>
      <c r="D5" s="211">
        <v>42933</v>
      </c>
      <c r="E5" s="210">
        <v>12112</v>
      </c>
      <c r="F5" s="211">
        <v>11513</v>
      </c>
      <c r="G5" s="211">
        <v>45422</v>
      </c>
      <c r="H5" s="210">
        <v>11104</v>
      </c>
      <c r="I5" s="211">
        <v>11120</v>
      </c>
      <c r="J5" s="211">
        <v>50438</v>
      </c>
      <c r="K5" s="210">
        <f>7320+1982</f>
        <v>9302</v>
      </c>
      <c r="L5" s="378">
        <v>43658</v>
      </c>
      <c r="M5" s="1695"/>
      <c r="N5" s="1674"/>
      <c r="O5" s="1681"/>
      <c r="P5" s="1674"/>
      <c r="Q5" s="1681"/>
      <c r="R5" s="1674"/>
      <c r="S5" s="1289"/>
      <c r="T5" s="1389"/>
      <c r="U5" s="211">
        <v>76</v>
      </c>
      <c r="V5" s="1680"/>
      <c r="W5" s="1674"/>
      <c r="X5" s="211">
        <v>86</v>
      </c>
      <c r="Y5" s="1675"/>
      <c r="Z5" s="1674"/>
      <c r="AA5" s="211">
        <v>89</v>
      </c>
      <c r="AB5" s="1664"/>
      <c r="AC5" s="1666"/>
      <c r="AD5" s="1289"/>
      <c r="AE5" s="1389"/>
    </row>
    <row r="6" spans="1:31">
      <c r="A6" s="18" t="s">
        <v>37</v>
      </c>
      <c r="B6" s="210">
        <v>11858</v>
      </c>
      <c r="C6" s="211">
        <v>11853</v>
      </c>
      <c r="D6" s="211">
        <v>46012</v>
      </c>
      <c r="E6" s="210">
        <v>11041</v>
      </c>
      <c r="F6" s="211">
        <v>11082</v>
      </c>
      <c r="G6" s="211">
        <v>43452</v>
      </c>
      <c r="H6" s="210">
        <v>11380</v>
      </c>
      <c r="I6" s="211">
        <v>11501</v>
      </c>
      <c r="J6" s="212">
        <v>51793</v>
      </c>
      <c r="K6" s="379">
        <f>7791+2173</f>
        <v>9964</v>
      </c>
      <c r="L6" s="380">
        <f>46381</f>
        <v>46381</v>
      </c>
      <c r="M6" s="1695"/>
      <c r="N6" s="1674"/>
      <c r="O6" s="1681"/>
      <c r="P6" s="1674"/>
      <c r="Q6" s="1681"/>
      <c r="R6" s="1674"/>
      <c r="S6" s="1289"/>
      <c r="T6" s="1389"/>
      <c r="U6" s="211">
        <v>87</v>
      </c>
      <c r="V6" s="1680"/>
      <c r="W6" s="1674"/>
      <c r="X6" s="211">
        <v>84</v>
      </c>
      <c r="Y6" s="1675"/>
      <c r="Z6" s="1674"/>
      <c r="AA6" s="211">
        <v>123</v>
      </c>
      <c r="AB6" s="1664"/>
      <c r="AC6" s="1666"/>
      <c r="AD6" s="1289"/>
      <c r="AE6" s="1389"/>
    </row>
    <row r="7" spans="1:31">
      <c r="A7" s="18" t="s">
        <v>38</v>
      </c>
      <c r="B7" s="210">
        <v>10524</v>
      </c>
      <c r="C7" s="211">
        <v>10643</v>
      </c>
      <c r="D7" s="211">
        <v>41273</v>
      </c>
      <c r="E7" s="210">
        <v>10168</v>
      </c>
      <c r="F7" s="211">
        <v>10232</v>
      </c>
      <c r="G7" s="211">
        <v>39978</v>
      </c>
      <c r="H7" s="210">
        <v>10696</v>
      </c>
      <c r="I7" s="211">
        <v>10793</v>
      </c>
      <c r="J7" s="212">
        <v>48507</v>
      </c>
      <c r="K7" s="379">
        <f>7108+2172</f>
        <v>9280</v>
      </c>
      <c r="L7" s="380">
        <v>43144</v>
      </c>
      <c r="M7" s="1695"/>
      <c r="N7" s="1674"/>
      <c r="O7" s="1681"/>
      <c r="P7" s="1674"/>
      <c r="Q7" s="1681"/>
      <c r="R7" s="1674"/>
      <c r="S7" s="1289"/>
      <c r="T7" s="1389"/>
      <c r="U7" s="211">
        <v>84</v>
      </c>
      <c r="V7" s="1675">
        <v>281</v>
      </c>
      <c r="W7" s="1674">
        <f>(44.23+42.34)*281*1.15</f>
        <v>27975.095499999996</v>
      </c>
      <c r="X7" s="211">
        <v>79</v>
      </c>
      <c r="Y7" s="1675"/>
      <c r="Z7" s="1674"/>
      <c r="AA7" s="211">
        <v>88</v>
      </c>
      <c r="AB7" s="1675">
        <f>898</f>
        <v>898</v>
      </c>
      <c r="AC7" s="1667">
        <f>(48.88+46.36)*898*1.1</f>
        <v>94078.072000000015</v>
      </c>
      <c r="AD7" s="1289">
        <v>863</v>
      </c>
      <c r="AE7" s="1389">
        <v>97046.94</v>
      </c>
    </row>
    <row r="8" spans="1:31">
      <c r="A8" s="18" t="s">
        <v>39</v>
      </c>
      <c r="B8" s="210">
        <v>11279</v>
      </c>
      <c r="C8" s="211">
        <v>11335</v>
      </c>
      <c r="D8" s="211">
        <v>43886</v>
      </c>
      <c r="E8" s="210">
        <v>11465</v>
      </c>
      <c r="F8" s="211">
        <v>11295</v>
      </c>
      <c r="G8" s="211">
        <v>43976</v>
      </c>
      <c r="H8" s="210">
        <v>11962</v>
      </c>
      <c r="I8" s="211">
        <v>11355</v>
      </c>
      <c r="J8" s="212">
        <v>50802</v>
      </c>
      <c r="K8" s="379">
        <f>7405+2295</f>
        <v>9700</v>
      </c>
      <c r="L8" s="380">
        <v>44867.81</v>
      </c>
      <c r="M8" s="1695"/>
      <c r="N8" s="1674"/>
      <c r="O8" s="1681"/>
      <c r="P8" s="1674"/>
      <c r="Q8" s="1681"/>
      <c r="R8" s="1674"/>
      <c r="S8" s="1289"/>
      <c r="T8" s="1389"/>
      <c r="U8" s="211">
        <v>97</v>
      </c>
      <c r="V8" s="1675"/>
      <c r="W8" s="1674"/>
      <c r="X8" s="211">
        <v>108</v>
      </c>
      <c r="Y8" s="221">
        <v>91</v>
      </c>
      <c r="Z8" s="222">
        <f>(46.15+43.76)*91*1.1</f>
        <v>8999.991</v>
      </c>
      <c r="AA8" s="211">
        <v>109</v>
      </c>
      <c r="AB8" s="1680"/>
      <c r="AC8" s="1667"/>
      <c r="AD8" s="1289"/>
      <c r="AE8" s="1389"/>
    </row>
    <row r="9" spans="1:31">
      <c r="A9" s="18" t="s">
        <v>40</v>
      </c>
      <c r="B9" s="210">
        <v>13128</v>
      </c>
      <c r="C9" s="211">
        <v>12983</v>
      </c>
      <c r="D9" s="211">
        <v>49709</v>
      </c>
      <c r="E9" s="210">
        <v>10807</v>
      </c>
      <c r="F9" s="211">
        <v>11427</v>
      </c>
      <c r="G9" s="211">
        <v>44456</v>
      </c>
      <c r="H9" s="210">
        <v>12175</v>
      </c>
      <c r="I9" s="211">
        <v>12168</v>
      </c>
      <c r="J9" s="212">
        <v>54073</v>
      </c>
      <c r="K9" s="379">
        <f>8058+2384</f>
        <v>10442</v>
      </c>
      <c r="L9" s="380">
        <v>48188.99</v>
      </c>
      <c r="M9" s="1695"/>
      <c r="N9" s="1674"/>
      <c r="O9" s="1681"/>
      <c r="P9" s="1674"/>
      <c r="Q9" s="1681"/>
      <c r="R9" s="1674"/>
      <c r="S9" s="1289"/>
      <c r="T9" s="1389"/>
      <c r="U9" s="211">
        <v>84</v>
      </c>
      <c r="V9" s="1675"/>
      <c r="W9" s="1674"/>
      <c r="X9" s="211">
        <v>95</v>
      </c>
      <c r="Y9" s="1664">
        <v>622</v>
      </c>
      <c r="Z9" s="1700">
        <v>61516.421999999999</v>
      </c>
      <c r="AA9" s="211">
        <v>113</v>
      </c>
      <c r="AB9" s="1680"/>
      <c r="AC9" s="1667"/>
      <c r="AD9" s="1289"/>
      <c r="AE9" s="1389"/>
    </row>
    <row r="10" spans="1:31">
      <c r="A10" s="18" t="s">
        <v>41</v>
      </c>
      <c r="B10" s="210">
        <v>12409</v>
      </c>
      <c r="C10" s="211">
        <v>12391</v>
      </c>
      <c r="D10" s="211">
        <v>47495</v>
      </c>
      <c r="E10" s="210">
        <v>12156</v>
      </c>
      <c r="F10" s="211">
        <v>11586</v>
      </c>
      <c r="G10" s="211">
        <v>44778</v>
      </c>
      <c r="H10" s="210">
        <v>10989</v>
      </c>
      <c r="I10" s="211">
        <v>10507</v>
      </c>
      <c r="J10" s="212">
        <v>46803</v>
      </c>
      <c r="K10" s="379">
        <f>7925+2601</f>
        <v>10526</v>
      </c>
      <c r="L10" s="380">
        <v>48119.07</v>
      </c>
      <c r="M10" s="1695"/>
      <c r="N10" s="1674"/>
      <c r="O10" s="1681"/>
      <c r="P10" s="1674"/>
      <c r="Q10" s="1681"/>
      <c r="R10" s="1674"/>
      <c r="S10" s="1289"/>
      <c r="T10" s="1389"/>
      <c r="U10" s="211">
        <v>77</v>
      </c>
      <c r="V10" s="1676">
        <f>473+44</f>
        <v>517</v>
      </c>
      <c r="W10" s="1674">
        <f>(44.23+42.34)*(473+44)*1.15</f>
        <v>51470.193499999994</v>
      </c>
      <c r="X10" s="211">
        <v>70</v>
      </c>
      <c r="Y10" s="1698"/>
      <c r="Z10" s="1701"/>
      <c r="AA10" s="211">
        <v>80</v>
      </c>
      <c r="AB10" s="1680"/>
      <c r="AC10" s="1667"/>
      <c r="AD10" s="1289"/>
      <c r="AE10" s="1389"/>
    </row>
    <row r="11" spans="1:31">
      <c r="A11" s="18" t="s">
        <v>42</v>
      </c>
      <c r="B11" s="210">
        <v>12583</v>
      </c>
      <c r="C11" s="211">
        <v>12227</v>
      </c>
      <c r="D11" s="211">
        <v>46887</v>
      </c>
      <c r="E11" s="210">
        <v>12337</v>
      </c>
      <c r="F11" s="211">
        <v>12432</v>
      </c>
      <c r="G11" s="211">
        <v>48123</v>
      </c>
      <c r="H11" s="210">
        <v>9462</v>
      </c>
      <c r="I11" s="211">
        <v>5331</v>
      </c>
      <c r="J11" s="212">
        <v>23896</v>
      </c>
      <c r="K11" s="379">
        <f>8253+2416</f>
        <v>10669</v>
      </c>
      <c r="L11" s="380">
        <v>49194.77</v>
      </c>
      <c r="M11" s="1695"/>
      <c r="N11" s="1674"/>
      <c r="O11" s="1681"/>
      <c r="P11" s="1674"/>
      <c r="Q11" s="1681"/>
      <c r="R11" s="1674"/>
      <c r="S11" s="1289"/>
      <c r="T11" s="1389"/>
      <c r="U11" s="211">
        <v>86</v>
      </c>
      <c r="V11" s="1676"/>
      <c r="W11" s="1674"/>
      <c r="X11" s="211">
        <v>107</v>
      </c>
      <c r="Y11" s="1698"/>
      <c r="Z11" s="1701"/>
      <c r="AA11" s="211">
        <v>92</v>
      </c>
      <c r="AB11" s="1680"/>
      <c r="AC11" s="1667"/>
      <c r="AD11" s="1289"/>
      <c r="AE11" s="1389"/>
    </row>
    <row r="12" spans="1:31">
      <c r="A12" s="18" t="s">
        <v>43</v>
      </c>
      <c r="B12" s="210">
        <v>10839</v>
      </c>
      <c r="C12" s="211">
        <v>11170</v>
      </c>
      <c r="D12" s="211">
        <v>43289</v>
      </c>
      <c r="E12" s="210">
        <v>11528</v>
      </c>
      <c r="F12" s="211">
        <v>11124</v>
      </c>
      <c r="G12" s="211">
        <v>43496</v>
      </c>
      <c r="H12" s="210">
        <v>9527</v>
      </c>
      <c r="I12" s="211">
        <v>14681</v>
      </c>
      <c r="J12" s="212">
        <v>66340</v>
      </c>
      <c r="K12" s="379">
        <f>7122+2245</f>
        <v>9367</v>
      </c>
      <c r="L12" s="380">
        <v>43399.02</v>
      </c>
      <c r="M12" s="1695"/>
      <c r="N12" s="1674"/>
      <c r="O12" s="1681"/>
      <c r="P12" s="1674"/>
      <c r="Q12" s="1681"/>
      <c r="R12" s="1674"/>
      <c r="S12" s="1289"/>
      <c r="T12" s="1389"/>
      <c r="U12" s="211">
        <v>81</v>
      </c>
      <c r="V12" s="1676"/>
      <c r="W12" s="1674"/>
      <c r="X12" s="211">
        <v>91</v>
      </c>
      <c r="Y12" s="1698"/>
      <c r="Z12" s="1701"/>
      <c r="AA12" s="211">
        <v>87</v>
      </c>
      <c r="AB12" s="1680"/>
      <c r="AC12" s="1667"/>
      <c r="AD12" s="1289"/>
      <c r="AE12" s="1389"/>
    </row>
    <row r="13" spans="1:31">
      <c r="A13" s="18" t="s">
        <v>44</v>
      </c>
      <c r="B13" s="210">
        <v>11940</v>
      </c>
      <c r="C13" s="211">
        <v>11845</v>
      </c>
      <c r="D13" s="211">
        <v>45926</v>
      </c>
      <c r="E13" s="210">
        <v>11655</v>
      </c>
      <c r="F13" s="211">
        <v>12172</v>
      </c>
      <c r="G13" s="211">
        <v>47615</v>
      </c>
      <c r="H13" s="210">
        <v>10406</v>
      </c>
      <c r="I13" s="211">
        <v>10138</v>
      </c>
      <c r="J13" s="212">
        <v>45847</v>
      </c>
      <c r="K13" s="379">
        <f>7280+2251</f>
        <v>9531</v>
      </c>
      <c r="L13" s="380">
        <v>38453.919999999998</v>
      </c>
      <c r="M13" s="1695"/>
      <c r="N13" s="1674"/>
      <c r="O13" s="1681"/>
      <c r="P13" s="1674"/>
      <c r="Q13" s="1681"/>
      <c r="R13" s="1674"/>
      <c r="S13" s="1289"/>
      <c r="T13" s="1389"/>
      <c r="U13" s="211">
        <v>85</v>
      </c>
      <c r="V13" s="1676"/>
      <c r="W13" s="1674"/>
      <c r="X13" s="211">
        <v>86</v>
      </c>
      <c r="Y13" s="1698"/>
      <c r="Z13" s="1701"/>
      <c r="AA13" s="211">
        <v>92</v>
      </c>
      <c r="AB13" s="1680"/>
      <c r="AC13" s="1667"/>
      <c r="AD13" s="1289"/>
      <c r="AE13" s="1389"/>
    </row>
    <row r="14" spans="1:31">
      <c r="A14" s="18" t="s">
        <v>45</v>
      </c>
      <c r="B14" s="210">
        <v>11986</v>
      </c>
      <c r="C14" s="211">
        <v>12247</v>
      </c>
      <c r="D14" s="211">
        <v>47725</v>
      </c>
      <c r="E14" s="210">
        <v>11511</v>
      </c>
      <c r="F14" s="211">
        <v>11404</v>
      </c>
      <c r="G14" s="211">
        <v>44836</v>
      </c>
      <c r="H14" s="210">
        <v>10229</v>
      </c>
      <c r="I14" s="211">
        <v>10429</v>
      </c>
      <c r="J14" s="212">
        <v>39174</v>
      </c>
      <c r="K14" s="379">
        <f>7902+2269</f>
        <v>10171</v>
      </c>
      <c r="L14" s="380">
        <v>41061.85</v>
      </c>
      <c r="M14" s="1695"/>
      <c r="N14" s="1674"/>
      <c r="O14" s="1681"/>
      <c r="P14" s="1674"/>
      <c r="Q14" s="1681"/>
      <c r="R14" s="1674"/>
      <c r="S14" s="1289"/>
      <c r="T14" s="1389"/>
      <c r="U14" s="211">
        <v>79</v>
      </c>
      <c r="V14" s="1676"/>
      <c r="W14" s="1674"/>
      <c r="X14" s="211">
        <v>76</v>
      </c>
      <c r="Y14" s="1698"/>
      <c r="Z14" s="1701"/>
      <c r="AA14" s="211">
        <v>87</v>
      </c>
      <c r="AB14" s="1680"/>
      <c r="AC14" s="1667"/>
      <c r="AD14" s="1289"/>
      <c r="AE14" s="1389"/>
    </row>
    <row r="15" spans="1:31">
      <c r="A15" s="19" t="s">
        <v>46</v>
      </c>
      <c r="B15" s="213">
        <v>11748</v>
      </c>
      <c r="C15" s="214">
        <v>11714</v>
      </c>
      <c r="D15" s="214">
        <v>45261</v>
      </c>
      <c r="E15" s="213">
        <v>11545</v>
      </c>
      <c r="F15" s="214">
        <v>11360</v>
      </c>
      <c r="G15" s="214">
        <v>44708</v>
      </c>
      <c r="H15" s="213">
        <v>10115</v>
      </c>
      <c r="I15" s="214">
        <v>10258</v>
      </c>
      <c r="J15" s="215">
        <v>38569</v>
      </c>
      <c r="K15" s="381">
        <f>7419+2343</f>
        <v>9762</v>
      </c>
      <c r="L15" s="382">
        <v>39210.949999999997</v>
      </c>
      <c r="M15" s="1696"/>
      <c r="N15" s="1678"/>
      <c r="O15" s="1682"/>
      <c r="P15" s="1678"/>
      <c r="Q15" s="1682"/>
      <c r="R15" s="1678"/>
      <c r="S15" s="1290"/>
      <c r="T15" s="1390"/>
      <c r="U15" s="214">
        <v>60</v>
      </c>
      <c r="V15" s="1677"/>
      <c r="W15" s="1678"/>
      <c r="X15" s="214">
        <v>81</v>
      </c>
      <c r="Y15" s="1699"/>
      <c r="Z15" s="1702"/>
      <c r="AA15" s="214">
        <v>78</v>
      </c>
      <c r="AB15" s="1697"/>
      <c r="AC15" s="1668"/>
      <c r="AD15" s="1290"/>
      <c r="AE15" s="1390"/>
    </row>
    <row r="16" spans="1:31">
      <c r="A16" s="21" t="s">
        <v>4</v>
      </c>
      <c r="B16" s="216">
        <f>SUM(B4:B15)</f>
        <v>142290</v>
      </c>
      <c r="C16" s="216">
        <f t="shared" ref="C16:AC16" si="0">SUM(C4:C15)</f>
        <v>142366</v>
      </c>
      <c r="D16" s="216">
        <f t="shared" si="0"/>
        <v>551544</v>
      </c>
      <c r="E16" s="216">
        <f t="shared" si="0"/>
        <v>139130</v>
      </c>
      <c r="F16" s="216">
        <f t="shared" si="0"/>
        <v>138852</v>
      </c>
      <c r="G16" s="216">
        <f t="shared" si="0"/>
        <v>542749</v>
      </c>
      <c r="H16" s="216">
        <f t="shared" si="0"/>
        <v>130003</v>
      </c>
      <c r="I16" s="216">
        <f t="shared" si="0"/>
        <v>130399</v>
      </c>
      <c r="J16" s="216">
        <f t="shared" si="0"/>
        <v>570919</v>
      </c>
      <c r="K16" s="216">
        <f>SUM(K4:K15)</f>
        <v>119462</v>
      </c>
      <c r="L16" s="216">
        <f>SUM(L4:L15)</f>
        <v>535776.38</v>
      </c>
      <c r="M16" s="98">
        <f t="shared" si="0"/>
        <v>366250</v>
      </c>
      <c r="N16" s="98">
        <f t="shared" si="0"/>
        <v>829705.68</v>
      </c>
      <c r="O16" s="98">
        <f t="shared" si="0"/>
        <v>375361.11111111107</v>
      </c>
      <c r="P16" s="98">
        <f t="shared" si="0"/>
        <v>812036.71</v>
      </c>
      <c r="Q16" s="98">
        <f t="shared" si="0"/>
        <v>424646.11111111112</v>
      </c>
      <c r="R16" s="98">
        <f t="shared" si="0"/>
        <v>903522.93</v>
      </c>
      <c r="S16" s="98">
        <f>SUM(S4:S15)</f>
        <v>363075</v>
      </c>
      <c r="T16" s="451">
        <f>SUM(T4:T15)</f>
        <v>1304350.3</v>
      </c>
      <c r="U16" s="216">
        <f t="shared" si="0"/>
        <v>987</v>
      </c>
      <c r="V16" s="98">
        <f>SUM(V4:V15)</f>
        <v>1045</v>
      </c>
      <c r="W16" s="98">
        <f t="shared" si="0"/>
        <v>104035.49749999998</v>
      </c>
      <c r="X16" s="216">
        <f t="shared" si="0"/>
        <v>1053</v>
      </c>
      <c r="Y16" s="98">
        <f t="shared" si="0"/>
        <v>1047</v>
      </c>
      <c r="Z16" s="98">
        <f t="shared" si="0"/>
        <v>105050.844</v>
      </c>
      <c r="AA16" s="216">
        <f t="shared" si="0"/>
        <v>1121</v>
      </c>
      <c r="AB16" s="458">
        <f t="shared" si="0"/>
        <v>1104</v>
      </c>
      <c r="AC16" s="460">
        <f t="shared" si="0"/>
        <v>115659.45200000002</v>
      </c>
      <c r="AD16" s="367">
        <f>SUM(AD4:AD15)</f>
        <v>1073</v>
      </c>
      <c r="AE16" s="459">
        <f>SUM(AE4:AE15)</f>
        <v>120662.07</v>
      </c>
    </row>
    <row r="18" spans="1:31">
      <c r="B18" s="156"/>
    </row>
    <row r="22" spans="1:31">
      <c r="A22" s="1683" t="s">
        <v>133</v>
      </c>
      <c r="B22" s="1688" t="s">
        <v>0</v>
      </c>
      <c r="C22" s="1689"/>
      <c r="D22" s="1689"/>
      <c r="E22" s="1689"/>
      <c r="F22" s="1689"/>
      <c r="G22" s="1689"/>
      <c r="H22" s="1689"/>
      <c r="I22" s="1689"/>
      <c r="J22" s="1689"/>
      <c r="K22" s="1263"/>
      <c r="L22" s="1264"/>
      <c r="M22" s="1688" t="s">
        <v>32</v>
      </c>
      <c r="N22" s="1689"/>
      <c r="O22" s="1689"/>
      <c r="P22" s="1689"/>
      <c r="Q22" s="1689"/>
      <c r="R22" s="1689"/>
      <c r="S22" s="1263"/>
      <c r="T22" s="1264"/>
      <c r="U22" s="1703" t="s">
        <v>5</v>
      </c>
      <c r="V22" s="1704"/>
      <c r="W22" s="1704"/>
      <c r="X22" s="1704"/>
      <c r="Y22" s="1704"/>
      <c r="Z22" s="1704"/>
      <c r="AA22" s="1704"/>
      <c r="AB22" s="1704"/>
      <c r="AC22" s="1704"/>
      <c r="AD22" s="1705"/>
      <c r="AE22" s="1706"/>
    </row>
    <row r="23" spans="1:31">
      <c r="A23" s="1683"/>
      <c r="B23" s="1684">
        <v>2019</v>
      </c>
      <c r="C23" s="1685"/>
      <c r="D23" s="1685"/>
      <c r="E23" s="1684">
        <v>2020</v>
      </c>
      <c r="F23" s="1685"/>
      <c r="G23" s="1685"/>
      <c r="H23" s="1684">
        <v>2021</v>
      </c>
      <c r="I23" s="1685"/>
      <c r="J23" s="1685"/>
      <c r="K23" s="1690">
        <v>2022</v>
      </c>
      <c r="L23" s="1691"/>
      <c r="M23" s="1686">
        <v>2019</v>
      </c>
      <c r="N23" s="1687"/>
      <c r="O23" s="1686">
        <v>2020</v>
      </c>
      <c r="P23" s="1687"/>
      <c r="Q23" s="1686">
        <v>2021</v>
      </c>
      <c r="R23" s="1687"/>
      <c r="S23" s="1692">
        <v>2022</v>
      </c>
      <c r="T23" s="1691"/>
      <c r="U23" s="1669">
        <v>2019</v>
      </c>
      <c r="V23" s="1670"/>
      <c r="W23" s="1670"/>
      <c r="X23" s="1669">
        <v>2020</v>
      </c>
      <c r="Y23" s="1670"/>
      <c r="Z23" s="1670"/>
      <c r="AA23" s="1669">
        <v>2021</v>
      </c>
      <c r="AB23" s="1670"/>
      <c r="AC23" s="1693"/>
      <c r="AD23" s="1269">
        <v>2022</v>
      </c>
      <c r="AE23" s="1270"/>
    </row>
    <row r="24" spans="1:31">
      <c r="A24" s="1683"/>
      <c r="B24" s="20" t="s">
        <v>1</v>
      </c>
      <c r="C24" s="20" t="s">
        <v>2</v>
      </c>
      <c r="D24" s="220" t="s">
        <v>3</v>
      </c>
      <c r="E24" s="20" t="s">
        <v>1</v>
      </c>
      <c r="F24" s="20" t="s">
        <v>2</v>
      </c>
      <c r="G24" s="20" t="s">
        <v>3</v>
      </c>
      <c r="H24" s="20" t="s">
        <v>1</v>
      </c>
      <c r="I24" s="220" t="s">
        <v>2</v>
      </c>
      <c r="J24" s="20" t="s">
        <v>3</v>
      </c>
      <c r="K24" s="20" t="s">
        <v>1</v>
      </c>
      <c r="L24" s="20" t="s">
        <v>3</v>
      </c>
      <c r="M24" s="20" t="s">
        <v>2</v>
      </c>
      <c r="N24" s="20" t="s">
        <v>3</v>
      </c>
      <c r="O24" s="20" t="s">
        <v>2</v>
      </c>
      <c r="P24" s="20" t="s">
        <v>3</v>
      </c>
      <c r="Q24" s="20" t="s">
        <v>2</v>
      </c>
      <c r="R24" s="20" t="s">
        <v>3</v>
      </c>
      <c r="S24" s="20"/>
      <c r="T24" s="20"/>
      <c r="U24" s="20" t="s">
        <v>6</v>
      </c>
      <c r="V24" s="20" t="s">
        <v>7</v>
      </c>
      <c r="W24" s="20" t="s">
        <v>3</v>
      </c>
      <c r="X24" s="20" t="s">
        <v>6</v>
      </c>
      <c r="Y24" s="20" t="s">
        <v>7</v>
      </c>
      <c r="Z24" s="20" t="s">
        <v>3</v>
      </c>
      <c r="AA24" s="20" t="s">
        <v>6</v>
      </c>
      <c r="AB24" s="20" t="s">
        <v>7</v>
      </c>
      <c r="AC24" s="376" t="s">
        <v>3</v>
      </c>
      <c r="AD24" s="357"/>
      <c r="AE24" s="358"/>
    </row>
    <row r="25" spans="1:31">
      <c r="A25" s="17" t="s">
        <v>35</v>
      </c>
      <c r="B25" s="208"/>
      <c r="C25" s="243">
        <f>3.424*1000</f>
        <v>3424</v>
      </c>
      <c r="D25" s="246">
        <v>15354.6</v>
      </c>
      <c r="E25" s="208"/>
      <c r="F25" s="243">
        <f>3.707*1000</f>
        <v>3707</v>
      </c>
      <c r="G25" s="247">
        <v>21316</v>
      </c>
      <c r="H25" s="208"/>
      <c r="I25" s="242">
        <f>3.024*1000</f>
        <v>3024</v>
      </c>
      <c r="J25" s="375">
        <v>12932</v>
      </c>
      <c r="K25" s="383">
        <v>3325</v>
      </c>
      <c r="L25" s="453">
        <v>18179</v>
      </c>
      <c r="M25" s="1671">
        <f>267.1/3.6*1000</f>
        <v>74194.444444444438</v>
      </c>
      <c r="N25" s="1673">
        <f>154689.61+13391.08</f>
        <v>168080.68999999997</v>
      </c>
      <c r="O25" s="1671">
        <f>381.1/3.6*1000</f>
        <v>105861.11111111111</v>
      </c>
      <c r="P25" s="1673">
        <f>213512.84+15501.59</f>
        <v>229014.43</v>
      </c>
      <c r="Q25" s="1671">
        <f>298.7/3.6*1000</f>
        <v>82972.222222222219</v>
      </c>
      <c r="R25" s="1673">
        <f>160348.21+16193.05</f>
        <v>176541.25999999998</v>
      </c>
      <c r="S25" s="1671">
        <v>54558</v>
      </c>
      <c r="T25" s="1672">
        <v>196001.47</v>
      </c>
      <c r="U25" s="209"/>
      <c r="V25" s="1679"/>
      <c r="W25" s="1673"/>
      <c r="X25" s="224"/>
      <c r="Y25" s="240"/>
      <c r="Z25" s="241"/>
      <c r="AA25" s="224"/>
      <c r="AB25" s="235"/>
      <c r="AC25" s="235"/>
      <c r="AD25" s="193"/>
      <c r="AE25" s="362"/>
    </row>
    <row r="26" spans="1:31">
      <c r="A26" s="18" t="s">
        <v>36</v>
      </c>
      <c r="B26" s="210"/>
      <c r="C26" s="242">
        <f>2.944*1000</f>
        <v>2944</v>
      </c>
      <c r="D26" s="246">
        <v>17469.07</v>
      </c>
      <c r="E26" s="210"/>
      <c r="F26" s="242">
        <f>3.651*1000</f>
        <v>3651</v>
      </c>
      <c r="G26" s="246">
        <v>21016</v>
      </c>
      <c r="H26" s="210"/>
      <c r="I26" s="242">
        <f>2.738*1000</f>
        <v>2738</v>
      </c>
      <c r="J26" s="184">
        <v>12982</v>
      </c>
      <c r="K26" s="384">
        <v>2860</v>
      </c>
      <c r="L26" s="454">
        <v>15786</v>
      </c>
      <c r="M26" s="1681"/>
      <c r="N26" s="1674"/>
      <c r="O26" s="1681"/>
      <c r="P26" s="1674"/>
      <c r="Q26" s="1681"/>
      <c r="R26" s="1674"/>
      <c r="S26" s="1289"/>
      <c r="T26" s="1389"/>
      <c r="U26" s="211"/>
      <c r="V26" s="1680"/>
      <c r="W26" s="1674"/>
      <c r="X26" s="225"/>
      <c r="Y26" s="237"/>
      <c r="Z26" s="239"/>
      <c r="AA26" s="225"/>
      <c r="AB26" s="236"/>
      <c r="AC26" s="236"/>
      <c r="AD26" s="194"/>
      <c r="AE26" s="355"/>
    </row>
    <row r="27" spans="1:31">
      <c r="A27" s="18" t="s">
        <v>37</v>
      </c>
      <c r="B27" s="210"/>
      <c r="C27" s="242">
        <f>3.171*1000</f>
        <v>3171</v>
      </c>
      <c r="D27" s="246">
        <v>17356.09</v>
      </c>
      <c r="E27" s="210"/>
      <c r="F27" s="242">
        <f>3.278*1000</f>
        <v>3278</v>
      </c>
      <c r="G27" s="246">
        <v>21544</v>
      </c>
      <c r="H27" s="210"/>
      <c r="I27" s="242">
        <f>3.474*1000</f>
        <v>3474</v>
      </c>
      <c r="J27" s="184">
        <v>17736</v>
      </c>
      <c r="K27" s="384">
        <v>3017</v>
      </c>
      <c r="L27" s="454">
        <v>16594</v>
      </c>
      <c r="M27" s="1681"/>
      <c r="N27" s="1674"/>
      <c r="O27" s="1681"/>
      <c r="P27" s="1674"/>
      <c r="Q27" s="1681"/>
      <c r="R27" s="1674"/>
      <c r="S27" s="1289"/>
      <c r="T27" s="1389"/>
      <c r="U27" s="211"/>
      <c r="V27" s="1680"/>
      <c r="W27" s="1674"/>
      <c r="X27" s="225"/>
      <c r="Y27" s="237"/>
      <c r="Z27" s="239"/>
      <c r="AA27" s="225"/>
      <c r="AB27" s="236"/>
      <c r="AC27" s="236"/>
      <c r="AD27" s="194"/>
      <c r="AE27" s="355"/>
    </row>
    <row r="28" spans="1:31">
      <c r="A28" s="18" t="s">
        <v>38</v>
      </c>
      <c r="B28" s="210"/>
      <c r="C28" s="242">
        <f>3.173*1000</f>
        <v>3173</v>
      </c>
      <c r="D28" s="246">
        <v>16434.43</v>
      </c>
      <c r="E28" s="210"/>
      <c r="F28" s="242">
        <f>2.932*1000</f>
        <v>2932</v>
      </c>
      <c r="G28" s="246">
        <v>16553</v>
      </c>
      <c r="H28" s="210"/>
      <c r="I28" s="242">
        <f>2.991*1000</f>
        <v>2991</v>
      </c>
      <c r="J28" s="184">
        <v>18412</v>
      </c>
      <c r="K28" s="384">
        <v>2739</v>
      </c>
      <c r="L28" s="454">
        <v>15164</v>
      </c>
      <c r="M28" s="1681"/>
      <c r="N28" s="1674"/>
      <c r="O28" s="1681"/>
      <c r="P28" s="1674"/>
      <c r="Q28" s="1681"/>
      <c r="R28" s="1674"/>
      <c r="S28" s="1289"/>
      <c r="T28" s="1389"/>
      <c r="U28" s="211"/>
      <c r="V28" s="1675"/>
      <c r="W28" s="1674"/>
      <c r="X28" s="225"/>
      <c r="Y28" s="237"/>
      <c r="Z28" s="239"/>
      <c r="AA28" s="225"/>
      <c r="AB28" s="237"/>
      <c r="AC28" s="387"/>
      <c r="AD28" s="194"/>
      <c r="AE28" s="355"/>
    </row>
    <row r="29" spans="1:31">
      <c r="A29" s="18" t="s">
        <v>39</v>
      </c>
      <c r="B29" s="210"/>
      <c r="C29" s="242">
        <f>3.016*1000</f>
        <v>3016</v>
      </c>
      <c r="D29" s="246">
        <v>24494.65</v>
      </c>
      <c r="E29" s="210"/>
      <c r="F29" s="242">
        <f>2.676*1000</f>
        <v>2676</v>
      </c>
      <c r="G29" s="246">
        <v>26608</v>
      </c>
      <c r="H29" s="210"/>
      <c r="I29" s="242">
        <f>4.011*1000</f>
        <v>4011</v>
      </c>
      <c r="J29" s="184">
        <v>17629</v>
      </c>
      <c r="K29" s="384">
        <v>3484</v>
      </c>
      <c r="L29" s="454">
        <v>18997</v>
      </c>
      <c r="M29" s="1681"/>
      <c r="N29" s="1674"/>
      <c r="O29" s="1681"/>
      <c r="P29" s="1674"/>
      <c r="Q29" s="1681"/>
      <c r="R29" s="1674"/>
      <c r="S29" s="1289"/>
      <c r="T29" s="1389"/>
      <c r="U29" s="211"/>
      <c r="V29" s="1675"/>
      <c r="W29" s="1674"/>
      <c r="X29" s="225"/>
      <c r="Y29" s="226"/>
      <c r="Z29" s="227"/>
      <c r="AA29" s="225"/>
      <c r="AB29" s="228"/>
      <c r="AC29" s="387"/>
      <c r="AD29" s="194"/>
      <c r="AE29" s="355"/>
    </row>
    <row r="30" spans="1:31">
      <c r="A30" s="18" t="s">
        <v>40</v>
      </c>
      <c r="B30" s="210"/>
      <c r="C30" s="242">
        <f>4.26*1000</f>
        <v>4260</v>
      </c>
      <c r="D30" s="246">
        <v>23771.759999999998</v>
      </c>
      <c r="E30" s="210"/>
      <c r="F30" s="242">
        <f>3.034*1000</f>
        <v>3034</v>
      </c>
      <c r="G30" s="246">
        <v>17072</v>
      </c>
      <c r="H30" s="210"/>
      <c r="I30" s="242">
        <f>4.812*1000</f>
        <v>4812</v>
      </c>
      <c r="J30" s="184">
        <v>18346</v>
      </c>
      <c r="K30" s="384">
        <v>4687</v>
      </c>
      <c r="L30" s="454">
        <v>25186</v>
      </c>
      <c r="M30" s="1681"/>
      <c r="N30" s="1674"/>
      <c r="O30" s="1681"/>
      <c r="P30" s="1674"/>
      <c r="Q30" s="1681"/>
      <c r="R30" s="1674"/>
      <c r="S30" s="1289"/>
      <c r="T30" s="1389"/>
      <c r="U30" s="211"/>
      <c r="V30" s="1675"/>
      <c r="W30" s="1674"/>
      <c r="X30" s="225"/>
      <c r="Y30" s="228"/>
      <c r="Z30" s="229"/>
      <c r="AA30" s="225"/>
      <c r="AB30" s="228"/>
      <c r="AC30" s="387"/>
      <c r="AD30" s="194"/>
      <c r="AE30" s="355"/>
    </row>
    <row r="31" spans="1:31">
      <c r="A31" s="18" t="s">
        <v>41</v>
      </c>
      <c r="B31" s="210"/>
      <c r="C31" s="242">
        <f>5.096*1000</f>
        <v>5096</v>
      </c>
      <c r="D31" s="246">
        <v>19994.669999999998</v>
      </c>
      <c r="E31" s="210"/>
      <c r="F31" s="242">
        <f>3.58*1000</f>
        <v>3580</v>
      </c>
      <c r="G31" s="246">
        <v>14585.33</v>
      </c>
      <c r="H31" s="210"/>
      <c r="I31" s="242">
        <f>3.444*1000</f>
        <v>3444</v>
      </c>
      <c r="J31" s="184">
        <v>25298</v>
      </c>
      <c r="K31" s="384">
        <v>4985</v>
      </c>
      <c r="L31" s="454">
        <v>26720</v>
      </c>
      <c r="M31" s="1681"/>
      <c r="N31" s="1674"/>
      <c r="O31" s="1681"/>
      <c r="P31" s="1674"/>
      <c r="Q31" s="1681"/>
      <c r="R31" s="1674"/>
      <c r="S31" s="1289"/>
      <c r="T31" s="1389"/>
      <c r="U31" s="211"/>
      <c r="V31" s="1676"/>
      <c r="W31" s="1674"/>
      <c r="X31" s="225"/>
      <c r="Y31" s="230"/>
      <c r="Z31" s="231"/>
      <c r="AA31" s="225"/>
      <c r="AB31" s="228"/>
      <c r="AC31" s="387"/>
      <c r="AD31" s="194"/>
      <c r="AE31" s="355"/>
    </row>
    <row r="32" spans="1:31">
      <c r="A32" s="18" t="s">
        <v>42</v>
      </c>
      <c r="B32" s="210"/>
      <c r="C32" s="242">
        <f>5.256*1000</f>
        <v>5256</v>
      </c>
      <c r="D32" s="246">
        <v>14374.18</v>
      </c>
      <c r="E32" s="210"/>
      <c r="F32" s="242">
        <f>5.674*1000</f>
        <v>5674</v>
      </c>
      <c r="G32" s="246">
        <v>12954.99</v>
      </c>
      <c r="H32" s="210"/>
      <c r="I32" s="242">
        <f>3.303*1000</f>
        <v>3303</v>
      </c>
      <c r="J32" s="184">
        <v>21227</v>
      </c>
      <c r="K32" s="384">
        <v>5706</v>
      </c>
      <c r="L32" s="454">
        <v>30429</v>
      </c>
      <c r="M32" s="1681"/>
      <c r="N32" s="1674"/>
      <c r="O32" s="1681"/>
      <c r="P32" s="1674"/>
      <c r="Q32" s="1681"/>
      <c r="R32" s="1674"/>
      <c r="S32" s="1289"/>
      <c r="T32" s="1389"/>
      <c r="U32" s="211"/>
      <c r="V32" s="1676"/>
      <c r="W32" s="1674"/>
      <c r="X32" s="225"/>
      <c r="Y32" s="230"/>
      <c r="Z32" s="231"/>
      <c r="AA32" s="225"/>
      <c r="AB32" s="228"/>
      <c r="AC32" s="387"/>
      <c r="AD32" s="194"/>
      <c r="AE32" s="355"/>
    </row>
    <row r="33" spans="1:31">
      <c r="A33" s="18" t="s">
        <v>43</v>
      </c>
      <c r="B33" s="210"/>
      <c r="C33" s="242">
        <f>3.472*1000</f>
        <v>3472</v>
      </c>
      <c r="D33" s="246">
        <v>15083.53</v>
      </c>
      <c r="E33" s="210"/>
      <c r="F33" s="242">
        <f>3.466*1000</f>
        <v>3466</v>
      </c>
      <c r="G33" s="246">
        <v>14121</v>
      </c>
      <c r="H33" s="210"/>
      <c r="I33" s="242">
        <f>3.457*1000</f>
        <v>3457</v>
      </c>
      <c r="J33" s="184">
        <v>16044</v>
      </c>
      <c r="K33" s="384">
        <v>3456</v>
      </c>
      <c r="L33" s="454">
        <v>18853</v>
      </c>
      <c r="M33" s="1681"/>
      <c r="N33" s="1674"/>
      <c r="O33" s="1681"/>
      <c r="P33" s="1674"/>
      <c r="Q33" s="1681"/>
      <c r="R33" s="1674"/>
      <c r="S33" s="1289"/>
      <c r="T33" s="1389"/>
      <c r="U33" s="211"/>
      <c r="V33" s="1676"/>
      <c r="W33" s="1674"/>
      <c r="X33" s="225"/>
      <c r="Y33" s="230"/>
      <c r="Z33" s="231"/>
      <c r="AA33" s="225"/>
      <c r="AB33" s="228"/>
      <c r="AC33" s="387"/>
      <c r="AD33" s="194"/>
      <c r="AE33" s="355"/>
    </row>
    <row r="34" spans="1:31">
      <c r="A34" s="18" t="s">
        <v>44</v>
      </c>
      <c r="B34" s="210"/>
      <c r="C34" s="242">
        <f>3.676*1000</f>
        <v>3676</v>
      </c>
      <c r="D34" s="246">
        <v>15074.49</v>
      </c>
      <c r="E34" s="210"/>
      <c r="F34" s="242">
        <f>4.562*1000</f>
        <v>4562</v>
      </c>
      <c r="G34" s="246">
        <v>15696.52</v>
      </c>
      <c r="H34" s="210"/>
      <c r="I34" s="242">
        <f>3.324*1000</f>
        <v>3324</v>
      </c>
      <c r="J34" s="184">
        <v>18498</v>
      </c>
      <c r="K34" s="384">
        <v>3083</v>
      </c>
      <c r="L34" s="454">
        <v>15087</v>
      </c>
      <c r="M34" s="1681"/>
      <c r="N34" s="1674"/>
      <c r="O34" s="1681"/>
      <c r="P34" s="1674"/>
      <c r="Q34" s="1681"/>
      <c r="R34" s="1674"/>
      <c r="S34" s="1289"/>
      <c r="T34" s="1389"/>
      <c r="U34" s="211"/>
      <c r="V34" s="1676"/>
      <c r="W34" s="1674"/>
      <c r="X34" s="225"/>
      <c r="Y34" s="230"/>
      <c r="Z34" s="231"/>
      <c r="AA34" s="225"/>
      <c r="AB34" s="228"/>
      <c r="AC34" s="387"/>
      <c r="AD34" s="194"/>
      <c r="AE34" s="355"/>
    </row>
    <row r="35" spans="1:31">
      <c r="A35" s="18" t="s">
        <v>45</v>
      </c>
      <c r="B35" s="210"/>
      <c r="C35" s="242">
        <f>3.701*1000</f>
        <v>3701</v>
      </c>
      <c r="D35" s="246">
        <v>14048.89</v>
      </c>
      <c r="E35" s="210"/>
      <c r="F35" s="242">
        <f>4.446*1000</f>
        <v>4446</v>
      </c>
      <c r="G35" s="246">
        <v>17395.169999999998</v>
      </c>
      <c r="H35" s="210"/>
      <c r="I35" s="242">
        <f>2.925*1000</f>
        <v>2925</v>
      </c>
      <c r="J35" s="184">
        <v>14758</v>
      </c>
      <c r="K35" s="384">
        <v>3115</v>
      </c>
      <c r="L35" s="454">
        <v>15232.84</v>
      </c>
      <c r="M35" s="1681"/>
      <c r="N35" s="1674"/>
      <c r="O35" s="1681"/>
      <c r="P35" s="1674"/>
      <c r="Q35" s="1681"/>
      <c r="R35" s="1674"/>
      <c r="S35" s="1289"/>
      <c r="T35" s="1389"/>
      <c r="U35" s="211"/>
      <c r="V35" s="1676"/>
      <c r="W35" s="1674"/>
      <c r="X35" s="225"/>
      <c r="Y35" s="230"/>
      <c r="Z35" s="231"/>
      <c r="AA35" s="225"/>
      <c r="AB35" s="228"/>
      <c r="AC35" s="387"/>
      <c r="AD35" s="194"/>
      <c r="AE35" s="355"/>
    </row>
    <row r="36" spans="1:31">
      <c r="A36" s="19" t="s">
        <v>46</v>
      </c>
      <c r="B36" s="213"/>
      <c r="C36" s="242">
        <f>3.233*1000</f>
        <v>3233</v>
      </c>
      <c r="D36" s="246">
        <v>16217.56</v>
      </c>
      <c r="E36" s="213"/>
      <c r="F36" s="242">
        <f>4.512*1000</f>
        <v>4512</v>
      </c>
      <c r="G36" s="246">
        <v>17650.2</v>
      </c>
      <c r="H36" s="213"/>
      <c r="I36" s="245">
        <f>2.913*1000</f>
        <v>2913</v>
      </c>
      <c r="J36" s="184">
        <v>16212</v>
      </c>
      <c r="K36" s="386">
        <v>2931</v>
      </c>
      <c r="L36" s="455">
        <v>14396.32</v>
      </c>
      <c r="M36" s="1682"/>
      <c r="N36" s="1678"/>
      <c r="O36" s="1682"/>
      <c r="P36" s="1678"/>
      <c r="Q36" s="1682"/>
      <c r="R36" s="1678"/>
      <c r="S36" s="1290"/>
      <c r="T36" s="1390"/>
      <c r="U36" s="214"/>
      <c r="V36" s="1677"/>
      <c r="W36" s="1678"/>
      <c r="X36" s="232"/>
      <c r="Y36" s="233"/>
      <c r="Z36" s="234"/>
      <c r="AA36" s="232"/>
      <c r="AB36" s="238"/>
      <c r="AC36" s="388"/>
      <c r="AD36" s="195"/>
      <c r="AE36" s="356"/>
    </row>
    <row r="37" spans="1:31">
      <c r="A37" s="21" t="s">
        <v>4</v>
      </c>
      <c r="B37" s="216">
        <f>SUM(B25:B36)</f>
        <v>0</v>
      </c>
      <c r="C37" s="244">
        <f t="shared" ref="C37:U37" si="1">SUM(C25:C36)</f>
        <v>44422</v>
      </c>
      <c r="D37" s="244">
        <f>SUM(D25:D36)</f>
        <v>209673.91999999998</v>
      </c>
      <c r="E37" s="216">
        <f t="shared" si="1"/>
        <v>0</v>
      </c>
      <c r="F37" s="244">
        <f t="shared" si="1"/>
        <v>45518</v>
      </c>
      <c r="G37" s="244">
        <f>SUM(G25:G36)</f>
        <v>216512.20999999996</v>
      </c>
      <c r="H37" s="216">
        <f t="shared" si="1"/>
        <v>0</v>
      </c>
      <c r="I37" s="216">
        <f t="shared" si="1"/>
        <v>40416</v>
      </c>
      <c r="J37" s="244">
        <f t="shared" si="1"/>
        <v>210074</v>
      </c>
      <c r="K37" s="216">
        <f>SUM(K25:K36)</f>
        <v>43388</v>
      </c>
      <c r="L37" s="451">
        <f>SUM(L25:L36)</f>
        <v>230624.16</v>
      </c>
      <c r="M37" s="98">
        <f t="shared" si="1"/>
        <v>74194.444444444438</v>
      </c>
      <c r="N37" s="98">
        <f t="shared" si="1"/>
        <v>168080.68999999997</v>
      </c>
      <c r="O37" s="98">
        <f t="shared" si="1"/>
        <v>105861.11111111111</v>
      </c>
      <c r="P37" s="98">
        <f t="shared" si="1"/>
        <v>229014.43</v>
      </c>
      <c r="Q37" s="98">
        <f t="shared" si="1"/>
        <v>82972.222222222219</v>
      </c>
      <c r="R37" s="98">
        <f t="shared" si="1"/>
        <v>176541.25999999998</v>
      </c>
      <c r="S37" s="98">
        <f>SUM(S25:S36)</f>
        <v>54558</v>
      </c>
      <c r="T37" s="451">
        <f>SUM(T25:T36)</f>
        <v>196001.47</v>
      </c>
      <c r="U37" s="216">
        <f t="shared" si="1"/>
        <v>0</v>
      </c>
      <c r="V37" s="98">
        <f>SUM(V25:V36)</f>
        <v>0</v>
      </c>
      <c r="W37" s="98">
        <f t="shared" ref="W37:AC37" si="2">SUM(W25:W36)</f>
        <v>0</v>
      </c>
      <c r="X37" s="216">
        <f t="shared" si="2"/>
        <v>0</v>
      </c>
      <c r="Y37" s="98">
        <f t="shared" si="2"/>
        <v>0</v>
      </c>
      <c r="Z37" s="98">
        <f t="shared" si="2"/>
        <v>0</v>
      </c>
      <c r="AA37" s="216">
        <f t="shared" si="2"/>
        <v>0</v>
      </c>
      <c r="AB37" s="98">
        <f t="shared" si="2"/>
        <v>0</v>
      </c>
      <c r="AC37" s="98">
        <f t="shared" si="2"/>
        <v>0</v>
      </c>
      <c r="AD37" s="373">
        <f>SUM(AD25:AD36)</f>
        <v>0</v>
      </c>
      <c r="AE37" s="374">
        <f>SUM(AE25:AE36)</f>
        <v>0</v>
      </c>
    </row>
  </sheetData>
  <mergeCells count="72">
    <mergeCell ref="A1:A3"/>
    <mergeCell ref="AA2:AC2"/>
    <mergeCell ref="M2:N2"/>
    <mergeCell ref="O2:P2"/>
    <mergeCell ref="Q2:R2"/>
    <mergeCell ref="U2:W2"/>
    <mergeCell ref="X2:Z2"/>
    <mergeCell ref="B2:D2"/>
    <mergeCell ref="E2:G2"/>
    <mergeCell ref="H2:J2"/>
    <mergeCell ref="B1:L1"/>
    <mergeCell ref="K2:L2"/>
    <mergeCell ref="M1:T1"/>
    <mergeCell ref="S2:T2"/>
    <mergeCell ref="U1:AE1"/>
    <mergeCell ref="AD2:AE2"/>
    <mergeCell ref="AA23:AC23"/>
    <mergeCell ref="M4:M15"/>
    <mergeCell ref="Q4:Q15"/>
    <mergeCell ref="R4:R15"/>
    <mergeCell ref="O4:O15"/>
    <mergeCell ref="P4:P15"/>
    <mergeCell ref="AB7:AB15"/>
    <mergeCell ref="Z4:Z7"/>
    <mergeCell ref="N4:N15"/>
    <mergeCell ref="Y9:Y15"/>
    <mergeCell ref="Z9:Z15"/>
    <mergeCell ref="U22:AE22"/>
    <mergeCell ref="AD23:AE23"/>
    <mergeCell ref="V4:V6"/>
    <mergeCell ref="Y4:Y7"/>
    <mergeCell ref="W10:W15"/>
    <mergeCell ref="A22:A24"/>
    <mergeCell ref="B23:D23"/>
    <mergeCell ref="E23:G23"/>
    <mergeCell ref="H23:J23"/>
    <mergeCell ref="M23:N23"/>
    <mergeCell ref="B22:L22"/>
    <mergeCell ref="K23:L23"/>
    <mergeCell ref="M22:T22"/>
    <mergeCell ref="O23:P23"/>
    <mergeCell ref="Q23:R23"/>
    <mergeCell ref="S23:T23"/>
    <mergeCell ref="M25:M36"/>
    <mergeCell ref="N25:N36"/>
    <mergeCell ref="O25:O36"/>
    <mergeCell ref="P25:P36"/>
    <mergeCell ref="Q25:Q36"/>
    <mergeCell ref="R25:R36"/>
    <mergeCell ref="V25:V27"/>
    <mergeCell ref="W25:W27"/>
    <mergeCell ref="S25:S36"/>
    <mergeCell ref="T25:T36"/>
    <mergeCell ref="V28:V30"/>
    <mergeCell ref="W28:W30"/>
    <mergeCell ref="V31:V36"/>
    <mergeCell ref="W31:W36"/>
    <mergeCell ref="U23:W23"/>
    <mergeCell ref="X23:Z23"/>
    <mergeCell ref="S4:S15"/>
    <mergeCell ref="T4:T15"/>
    <mergeCell ref="W4:W6"/>
    <mergeCell ref="V7:V9"/>
    <mergeCell ref="V10:V15"/>
    <mergeCell ref="W7:W9"/>
    <mergeCell ref="AD4:AD6"/>
    <mergeCell ref="AE4:AE6"/>
    <mergeCell ref="AD7:AD15"/>
    <mergeCell ref="AE7:AE15"/>
    <mergeCell ref="AB4:AB6"/>
    <mergeCell ref="AC4:AC6"/>
    <mergeCell ref="AC7:AC15"/>
  </mergeCells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workbookViewId="0">
      <pane xSplit="1" topLeftCell="D1" activePane="topRight" state="frozen"/>
      <selection pane="topRight" activeCell="AB26" sqref="AB26"/>
    </sheetView>
  </sheetViews>
  <sheetFormatPr defaultColWidth="8.85546875" defaultRowHeight="15"/>
  <cols>
    <col min="2" max="2" width="9.42578125" bestFit="1" customWidth="1"/>
    <col min="3" max="3" width="10.5703125" bestFit="1" customWidth="1"/>
    <col min="4" max="4" width="11.42578125" bestFit="1" customWidth="1"/>
    <col min="5" max="5" width="10.42578125" bestFit="1" customWidth="1"/>
    <col min="6" max="6" width="10" bestFit="1" customWidth="1"/>
    <col min="7" max="7" width="11.42578125" bestFit="1" customWidth="1"/>
    <col min="8" max="8" width="10" customWidth="1"/>
    <col min="10" max="10" width="11.42578125" bestFit="1" customWidth="1"/>
    <col min="12" max="12" width="11.42578125" bestFit="1" customWidth="1"/>
    <col min="14" max="14" width="11.42578125" bestFit="1" customWidth="1"/>
    <col min="15" max="17" width="9.42578125" bestFit="1" customWidth="1"/>
    <col min="18" max="18" width="10.42578125" bestFit="1" customWidth="1"/>
    <col min="20" max="20" width="11.42578125" bestFit="1" customWidth="1"/>
    <col min="23" max="23" width="10.85546875" bestFit="1" customWidth="1"/>
    <col min="24" max="24" width="9" bestFit="1" customWidth="1"/>
    <col min="25" max="25" width="10.85546875" bestFit="1" customWidth="1"/>
    <col min="26" max="26" width="9" bestFit="1" customWidth="1"/>
    <col min="27" max="27" width="10.85546875" bestFit="1" customWidth="1"/>
  </cols>
  <sheetData>
    <row r="1" spans="1:26">
      <c r="A1" s="1255"/>
      <c r="B1" s="1718" t="s">
        <v>0</v>
      </c>
      <c r="C1" s="1719"/>
      <c r="D1" s="1719"/>
      <c r="E1" s="1719"/>
      <c r="F1" s="1719"/>
      <c r="G1" s="1719"/>
      <c r="H1" s="1719"/>
      <c r="I1" s="1719"/>
      <c r="J1" s="1719"/>
      <c r="K1" s="1720"/>
      <c r="L1" s="1721"/>
      <c r="M1" s="1688" t="s">
        <v>32</v>
      </c>
      <c r="N1" s="1689"/>
      <c r="O1" s="1689"/>
      <c r="P1" s="1689"/>
      <c r="Q1" s="1689"/>
      <c r="R1" s="1689"/>
      <c r="S1" s="1267"/>
      <c r="T1" s="1268"/>
      <c r="W1" s="1727">
        <v>2022</v>
      </c>
      <c r="X1" s="1727"/>
      <c r="Y1" s="1727"/>
      <c r="Z1" s="1728"/>
    </row>
    <row r="2" spans="1:26" ht="15.75" thickBot="1">
      <c r="A2" s="1255"/>
      <c r="B2" s="1725">
        <v>2019</v>
      </c>
      <c r="C2" s="1726"/>
      <c r="D2" s="1726"/>
      <c r="E2" s="1725">
        <v>2020</v>
      </c>
      <c r="F2" s="1726"/>
      <c r="G2" s="1726"/>
      <c r="H2" s="1725">
        <v>2021</v>
      </c>
      <c r="I2" s="1726"/>
      <c r="J2" s="1726"/>
      <c r="K2" s="1722">
        <v>2022</v>
      </c>
      <c r="L2" s="1723"/>
      <c r="M2" s="1686">
        <v>2019</v>
      </c>
      <c r="N2" s="1687"/>
      <c r="O2" s="1686">
        <v>2020</v>
      </c>
      <c r="P2" s="1687"/>
      <c r="Q2" s="1686">
        <v>2021</v>
      </c>
      <c r="R2" s="1687"/>
      <c r="S2" s="1724">
        <v>2022</v>
      </c>
      <c r="T2" s="1691"/>
      <c r="W2" s="1113"/>
      <c r="X2" s="1113"/>
      <c r="Y2" s="1113"/>
      <c r="Z2" s="1113"/>
    </row>
    <row r="3" spans="1:26" ht="15.75" thickBot="1">
      <c r="A3" s="1255"/>
      <c r="B3" s="1059" t="s">
        <v>1</v>
      </c>
      <c r="C3" s="1059" t="s">
        <v>2</v>
      </c>
      <c r="D3" s="1059" t="s">
        <v>3</v>
      </c>
      <c r="E3" s="1059" t="s">
        <v>1</v>
      </c>
      <c r="F3" s="1059" t="s">
        <v>2</v>
      </c>
      <c r="G3" s="1059" t="s">
        <v>3</v>
      </c>
      <c r="H3" s="1059" t="s">
        <v>1</v>
      </c>
      <c r="I3" s="1059" t="s">
        <v>2</v>
      </c>
      <c r="J3" s="1059" t="s">
        <v>3</v>
      </c>
      <c r="K3" s="1059"/>
      <c r="L3" s="1059"/>
      <c r="M3" s="20" t="s">
        <v>2</v>
      </c>
      <c r="N3" s="20" t="s">
        <v>3</v>
      </c>
      <c r="O3" s="20" t="s">
        <v>2</v>
      </c>
      <c r="P3" s="20" t="s">
        <v>3</v>
      </c>
      <c r="Q3" s="20" t="s">
        <v>2</v>
      </c>
      <c r="R3" s="20" t="s">
        <v>3</v>
      </c>
      <c r="S3" s="357"/>
      <c r="T3" s="423"/>
      <c r="W3" s="1113"/>
      <c r="X3" s="1114" t="s">
        <v>320</v>
      </c>
      <c r="Y3" s="1120" t="s">
        <v>321</v>
      </c>
      <c r="Z3" s="1115" t="s">
        <v>4</v>
      </c>
    </row>
    <row r="4" spans="1:26">
      <c r="A4" s="17" t="s">
        <v>35</v>
      </c>
      <c r="B4" s="1060">
        <v>53232</v>
      </c>
      <c r="C4" s="1061">
        <v>22416</v>
      </c>
      <c r="D4" s="1062">
        <v>150534</v>
      </c>
      <c r="E4" s="1060">
        <v>156235</v>
      </c>
      <c r="F4" s="1061">
        <v>24039</v>
      </c>
      <c r="G4" s="1062">
        <v>156235.07999999999</v>
      </c>
      <c r="H4" s="1063"/>
      <c r="I4" s="1064">
        <v>13215</v>
      </c>
      <c r="J4" s="1065">
        <v>117012.02</v>
      </c>
      <c r="K4" s="1063">
        <v>26004</v>
      </c>
      <c r="L4" s="1066">
        <v>202605</v>
      </c>
      <c r="M4" s="1716">
        <v>619775</v>
      </c>
      <c r="N4" s="1717">
        <v>1414973</v>
      </c>
      <c r="O4" s="1713">
        <v>534773</v>
      </c>
      <c r="P4" s="1710">
        <v>1165912</v>
      </c>
      <c r="Q4" s="1713">
        <v>610278</v>
      </c>
      <c r="R4" s="1710">
        <v>1298269</v>
      </c>
      <c r="S4" s="1559">
        <f>Z16/3.6*1000</f>
        <v>577762.22222222225</v>
      </c>
      <c r="T4" s="1561">
        <v>2075617.71</v>
      </c>
      <c r="W4" s="1116" t="s">
        <v>35</v>
      </c>
      <c r="X4" s="1121">
        <v>311.29000000000002</v>
      </c>
      <c r="Y4" s="1123">
        <v>6.87</v>
      </c>
      <c r="Z4" s="1124">
        <v>318.16000000000003</v>
      </c>
    </row>
    <row r="5" spans="1:26">
      <c r="A5" s="18" t="s">
        <v>36</v>
      </c>
      <c r="B5" s="1067">
        <v>50137</v>
      </c>
      <c r="C5" s="1068">
        <v>21158</v>
      </c>
      <c r="D5" s="1069">
        <v>143105</v>
      </c>
      <c r="E5" s="1067">
        <v>150851</v>
      </c>
      <c r="F5" s="1068">
        <v>21396</v>
      </c>
      <c r="G5" s="1069">
        <v>150850.59</v>
      </c>
      <c r="H5" s="1070"/>
      <c r="I5" s="1071">
        <v>13544</v>
      </c>
      <c r="J5" s="1072">
        <v>118759.12</v>
      </c>
      <c r="K5" s="1070">
        <v>25270</v>
      </c>
      <c r="L5" s="1073">
        <v>203003</v>
      </c>
      <c r="M5" s="1289"/>
      <c r="N5" s="1389"/>
      <c r="O5" s="1714"/>
      <c r="P5" s="1711"/>
      <c r="Q5" s="1714"/>
      <c r="R5" s="1711"/>
      <c r="S5" s="1560"/>
      <c r="T5" s="1389"/>
      <c r="W5" s="1117" t="s">
        <v>36</v>
      </c>
      <c r="X5" s="1122">
        <v>257.09199999999998</v>
      </c>
      <c r="Y5" s="1126">
        <v>5.1529999999999996</v>
      </c>
      <c r="Z5" s="1124">
        <v>262.245</v>
      </c>
    </row>
    <row r="6" spans="1:26">
      <c r="A6" s="18" t="s">
        <v>37</v>
      </c>
      <c r="B6" s="1067">
        <v>61243</v>
      </c>
      <c r="C6" s="1068">
        <v>23330</v>
      </c>
      <c r="D6" s="1069">
        <v>167499</v>
      </c>
      <c r="E6" s="1067">
        <v>107107</v>
      </c>
      <c r="F6" s="1068">
        <v>12617</v>
      </c>
      <c r="G6" s="1069">
        <v>107106.98</v>
      </c>
      <c r="H6" s="1070"/>
      <c r="I6" s="1071">
        <v>14965</v>
      </c>
      <c r="J6" s="1072">
        <v>129358</v>
      </c>
      <c r="K6" s="1070">
        <v>24213</v>
      </c>
      <c r="L6" s="1073">
        <v>188287</v>
      </c>
      <c r="M6" s="1289"/>
      <c r="N6" s="1389"/>
      <c r="O6" s="1714"/>
      <c r="P6" s="1711"/>
      <c r="Q6" s="1714"/>
      <c r="R6" s="1711"/>
      <c r="S6" s="1560"/>
      <c r="T6" s="1389"/>
      <c r="W6" s="1117" t="s">
        <v>37</v>
      </c>
      <c r="X6" s="1122">
        <v>278.41000000000003</v>
      </c>
      <c r="Y6" s="1126">
        <v>5.07</v>
      </c>
      <c r="Z6" s="1124">
        <v>283.48</v>
      </c>
    </row>
    <row r="7" spans="1:26">
      <c r="A7" s="18" t="s">
        <v>38</v>
      </c>
      <c r="B7" s="1067">
        <v>9625</v>
      </c>
      <c r="C7" s="1068">
        <v>5136</v>
      </c>
      <c r="D7" s="1069">
        <v>60793.03</v>
      </c>
      <c r="E7" s="1067">
        <v>28332</v>
      </c>
      <c r="F7" s="1068">
        <v>5020</v>
      </c>
      <c r="G7" s="1069">
        <v>28332.07</v>
      </c>
      <c r="H7" s="1070"/>
      <c r="I7" s="1071">
        <v>14824</v>
      </c>
      <c r="J7" s="1072">
        <v>130199</v>
      </c>
      <c r="K7" s="1070">
        <v>6912</v>
      </c>
      <c r="L7" s="1073">
        <v>81388</v>
      </c>
      <c r="M7" s="1289"/>
      <c r="N7" s="1389"/>
      <c r="O7" s="1714"/>
      <c r="P7" s="1711"/>
      <c r="Q7" s="1714"/>
      <c r="R7" s="1711"/>
      <c r="S7" s="1560"/>
      <c r="T7" s="1389"/>
      <c r="W7" s="1117" t="s">
        <v>38</v>
      </c>
      <c r="X7" s="1122">
        <v>145.565</v>
      </c>
      <c r="Y7" s="1126">
        <v>2.6779999999999999</v>
      </c>
      <c r="Z7" s="1124">
        <v>148.24299999999999</v>
      </c>
    </row>
    <row r="8" spans="1:26">
      <c r="A8" s="18" t="s">
        <v>39</v>
      </c>
      <c r="B8" s="1067">
        <v>12031</v>
      </c>
      <c r="C8" s="1068">
        <v>6512</v>
      </c>
      <c r="D8" s="1069">
        <v>57193.77</v>
      </c>
      <c r="E8" s="1067">
        <v>32926</v>
      </c>
      <c r="F8" s="1068">
        <v>6106</v>
      </c>
      <c r="G8" s="1069">
        <v>32926.199999999997</v>
      </c>
      <c r="H8" s="1070"/>
      <c r="I8" s="1071">
        <v>25270</v>
      </c>
      <c r="J8" s="1072">
        <v>196309</v>
      </c>
      <c r="K8" s="1070">
        <v>6654</v>
      </c>
      <c r="L8" s="1073">
        <v>78954</v>
      </c>
      <c r="M8" s="1289"/>
      <c r="N8" s="1389"/>
      <c r="O8" s="1714"/>
      <c r="P8" s="1711"/>
      <c r="Q8" s="1714"/>
      <c r="R8" s="1711"/>
      <c r="S8" s="1560"/>
      <c r="T8" s="1389"/>
      <c r="W8" s="1117" t="s">
        <v>39</v>
      </c>
      <c r="X8" s="1122">
        <v>23.332999999999998</v>
      </c>
      <c r="Y8" s="1126">
        <v>2.1859999999999999</v>
      </c>
      <c r="Z8" s="1127">
        <v>25.518999999999998</v>
      </c>
    </row>
    <row r="9" spans="1:26">
      <c r="A9" s="18" t="s">
        <v>40</v>
      </c>
      <c r="B9" s="1067">
        <v>11063</v>
      </c>
      <c r="C9" s="1068">
        <v>5257</v>
      </c>
      <c r="D9" s="1069">
        <v>54672.19</v>
      </c>
      <c r="E9" s="1067">
        <v>37370</v>
      </c>
      <c r="F9" s="1068">
        <v>6920</v>
      </c>
      <c r="G9" s="1069">
        <v>37370.39</v>
      </c>
      <c r="H9" s="1070"/>
      <c r="I9" s="1071">
        <v>33019</v>
      </c>
      <c r="J9" s="1072">
        <v>227394</v>
      </c>
      <c r="K9" s="1070">
        <v>6369</v>
      </c>
      <c r="L9" s="1073">
        <v>67901</v>
      </c>
      <c r="M9" s="1289"/>
      <c r="N9" s="1389"/>
      <c r="O9" s="1714"/>
      <c r="P9" s="1711"/>
      <c r="Q9" s="1714"/>
      <c r="R9" s="1711"/>
      <c r="S9" s="1560"/>
      <c r="T9" s="1389"/>
      <c r="W9" s="1117" t="s">
        <v>40</v>
      </c>
      <c r="X9" s="1122">
        <v>0</v>
      </c>
      <c r="Y9" s="1126">
        <v>20.724</v>
      </c>
      <c r="Z9" s="1127">
        <v>20.724</v>
      </c>
    </row>
    <row r="10" spans="1:26">
      <c r="A10" s="18" t="s">
        <v>41</v>
      </c>
      <c r="B10" s="1067">
        <v>50374</v>
      </c>
      <c r="C10" s="1068">
        <v>21558</v>
      </c>
      <c r="D10" s="1069">
        <v>137646.26999999999</v>
      </c>
      <c r="E10" s="1067">
        <v>63608</v>
      </c>
      <c r="F10" s="1068">
        <v>5536</v>
      </c>
      <c r="G10" s="1069">
        <v>63608</v>
      </c>
      <c r="H10" s="1070"/>
      <c r="I10" s="1071">
        <v>27165</v>
      </c>
      <c r="J10" s="1072">
        <v>216410</v>
      </c>
      <c r="K10" s="1070">
        <v>18141</v>
      </c>
      <c r="L10" s="1073">
        <v>150067</v>
      </c>
      <c r="M10" s="1289"/>
      <c r="N10" s="1389"/>
      <c r="O10" s="1714"/>
      <c r="P10" s="1711"/>
      <c r="Q10" s="1714"/>
      <c r="R10" s="1711"/>
      <c r="S10" s="1560"/>
      <c r="T10" s="1389"/>
      <c r="W10" s="1117" t="s">
        <v>41</v>
      </c>
      <c r="X10" s="1122">
        <v>0</v>
      </c>
      <c r="Y10" s="1126">
        <v>18.158000000000001</v>
      </c>
      <c r="Z10" s="1127">
        <v>18.158000000000001</v>
      </c>
    </row>
    <row r="11" spans="1:26">
      <c r="A11" s="18" t="s">
        <v>42</v>
      </c>
      <c r="B11" s="1067">
        <v>83350</v>
      </c>
      <c r="C11" s="1068">
        <v>34789</v>
      </c>
      <c r="D11" s="1069">
        <v>185969.75</v>
      </c>
      <c r="E11" s="1067">
        <v>114201</v>
      </c>
      <c r="F11" s="1068">
        <v>15044</v>
      </c>
      <c r="G11" s="1069">
        <v>114200.82</v>
      </c>
      <c r="H11" s="1070"/>
      <c r="I11" s="1071">
        <v>33657</v>
      </c>
      <c r="J11" s="1072">
        <v>231570</v>
      </c>
      <c r="K11" s="1070">
        <v>38422</v>
      </c>
      <c r="L11" s="1073">
        <v>237340</v>
      </c>
      <c r="M11" s="1289"/>
      <c r="N11" s="1389"/>
      <c r="O11" s="1714"/>
      <c r="P11" s="1711"/>
      <c r="Q11" s="1714"/>
      <c r="R11" s="1711"/>
      <c r="S11" s="1560"/>
      <c r="T11" s="1389"/>
      <c r="W11" s="1117" t="s">
        <v>42</v>
      </c>
      <c r="X11" s="1122">
        <v>0</v>
      </c>
      <c r="Y11" s="1126">
        <v>19.021999999999998</v>
      </c>
      <c r="Z11" s="1127">
        <v>19.021999999999998</v>
      </c>
    </row>
    <row r="12" spans="1:26">
      <c r="A12" s="18" t="s">
        <v>43</v>
      </c>
      <c r="B12" s="1067">
        <v>68226</v>
      </c>
      <c r="C12" s="1068">
        <v>26211</v>
      </c>
      <c r="D12" s="1069">
        <v>177412.6</v>
      </c>
      <c r="E12" s="1067">
        <v>180971</v>
      </c>
      <c r="F12" s="1068">
        <v>31615</v>
      </c>
      <c r="G12" s="1069">
        <v>180971</v>
      </c>
      <c r="H12" s="1070"/>
      <c r="I12" s="1071">
        <v>30648</v>
      </c>
      <c r="J12" s="1072">
        <v>228675</v>
      </c>
      <c r="K12" s="1070">
        <v>29772</v>
      </c>
      <c r="L12" s="1073">
        <v>211222</v>
      </c>
      <c r="M12" s="1289"/>
      <c r="N12" s="1389"/>
      <c r="O12" s="1714"/>
      <c r="P12" s="1711"/>
      <c r="Q12" s="1714"/>
      <c r="R12" s="1711"/>
      <c r="S12" s="1560"/>
      <c r="T12" s="1389"/>
      <c r="W12" s="1117" t="s">
        <v>43</v>
      </c>
      <c r="X12" s="1125">
        <v>146.27500000000001</v>
      </c>
      <c r="Y12" s="1126">
        <v>10.395</v>
      </c>
      <c r="Z12" s="1127">
        <v>156.67000000000002</v>
      </c>
    </row>
    <row r="13" spans="1:26">
      <c r="A13" s="18" t="s">
        <v>44</v>
      </c>
      <c r="B13" s="1067">
        <v>66291</v>
      </c>
      <c r="C13" s="1068">
        <v>26887</v>
      </c>
      <c r="D13" s="1069">
        <v>173380.83</v>
      </c>
      <c r="E13" s="1067">
        <v>134825</v>
      </c>
      <c r="F13" s="1068">
        <v>17893</v>
      </c>
      <c r="G13" s="1069">
        <v>134825</v>
      </c>
      <c r="H13" s="1070"/>
      <c r="I13" s="1071">
        <v>25187</v>
      </c>
      <c r="J13" s="1072">
        <v>217167</v>
      </c>
      <c r="K13" s="1070">
        <v>27255</v>
      </c>
      <c r="L13" s="1073">
        <v>192433</v>
      </c>
      <c r="M13" s="1289"/>
      <c r="N13" s="1389"/>
      <c r="O13" s="1714"/>
      <c r="P13" s="1711"/>
      <c r="Q13" s="1714"/>
      <c r="R13" s="1711"/>
      <c r="S13" s="1560"/>
      <c r="T13" s="1389"/>
      <c r="W13" s="1117" t="s">
        <v>44</v>
      </c>
      <c r="X13" s="1125">
        <v>198.876</v>
      </c>
      <c r="Y13" s="1126">
        <v>9.3979999999999997</v>
      </c>
      <c r="Z13" s="1127">
        <v>208.274</v>
      </c>
    </row>
    <row r="14" spans="1:26">
      <c r="A14" s="18" t="s">
        <v>45</v>
      </c>
      <c r="B14" s="1067">
        <v>56899</v>
      </c>
      <c r="C14" s="1068">
        <v>22091</v>
      </c>
      <c r="D14" s="1069">
        <v>157274.13</v>
      </c>
      <c r="E14" s="1067">
        <v>109401</v>
      </c>
      <c r="F14" s="1068">
        <v>12484</v>
      </c>
      <c r="G14" s="1069">
        <v>109401</v>
      </c>
      <c r="H14" s="1070"/>
      <c r="I14" s="1071">
        <v>25174</v>
      </c>
      <c r="J14" s="1072">
        <v>164519</v>
      </c>
      <c r="K14" s="1070">
        <v>29306</v>
      </c>
      <c r="L14" s="1073">
        <v>191417</v>
      </c>
      <c r="M14" s="1289"/>
      <c r="N14" s="1389"/>
      <c r="O14" s="1714"/>
      <c r="P14" s="1711"/>
      <c r="Q14" s="1714"/>
      <c r="R14" s="1711"/>
      <c r="S14" s="1560"/>
      <c r="T14" s="1389"/>
      <c r="W14" s="1117" t="s">
        <v>45</v>
      </c>
      <c r="X14" s="1125">
        <v>259.72000000000003</v>
      </c>
      <c r="Y14" s="1126">
        <v>20.344999999999999</v>
      </c>
      <c r="Z14" s="1127">
        <v>280.06500000000005</v>
      </c>
    </row>
    <row r="15" spans="1:26" ht="15.75" thickBot="1">
      <c r="A15" s="19" t="s">
        <v>46</v>
      </c>
      <c r="B15" s="1074">
        <v>53499</v>
      </c>
      <c r="C15" s="1075">
        <v>19320</v>
      </c>
      <c r="D15" s="1076">
        <v>147554.67000000001</v>
      </c>
      <c r="E15" s="1074">
        <v>121442</v>
      </c>
      <c r="F15" s="1075">
        <v>16607</v>
      </c>
      <c r="G15" s="1076">
        <v>121441.57</v>
      </c>
      <c r="H15" s="1077"/>
      <c r="I15" s="1078">
        <v>26089</v>
      </c>
      <c r="J15" s="1079">
        <v>164352.51</v>
      </c>
      <c r="K15" s="1077">
        <v>28174</v>
      </c>
      <c r="L15" s="1080">
        <v>182747.87</v>
      </c>
      <c r="M15" s="1290"/>
      <c r="N15" s="1390"/>
      <c r="O15" s="1715"/>
      <c r="P15" s="1712"/>
      <c r="Q15" s="1715"/>
      <c r="R15" s="1712"/>
      <c r="S15" s="1729"/>
      <c r="T15" s="1390"/>
      <c r="W15" s="1118" t="s">
        <v>46</v>
      </c>
      <c r="X15" s="1128">
        <v>334.166</v>
      </c>
      <c r="Y15" s="1129">
        <v>5.218</v>
      </c>
      <c r="Z15" s="1127">
        <v>339.38400000000001</v>
      </c>
    </row>
    <row r="16" spans="1:26" ht="15.75" thickBot="1">
      <c r="A16" s="21" t="s">
        <v>4</v>
      </c>
      <c r="B16" s="1081">
        <f t="shared" ref="B16:G16" si="0">SUM(B4:B15)</f>
        <v>575970</v>
      </c>
      <c r="C16" s="1082">
        <f t="shared" si="0"/>
        <v>234665</v>
      </c>
      <c r="D16" s="1083">
        <f t="shared" si="0"/>
        <v>1613035.2400000002</v>
      </c>
      <c r="E16" s="1084">
        <f t="shared" si="0"/>
        <v>1237269</v>
      </c>
      <c r="F16" s="1085">
        <f t="shared" si="0"/>
        <v>175277</v>
      </c>
      <c r="G16" s="1086">
        <f t="shared" si="0"/>
        <v>1237268.7000000002</v>
      </c>
      <c r="H16" s="1084">
        <f t="shared" ref="H16" si="1">SUM(H4:H15)</f>
        <v>0</v>
      </c>
      <c r="I16" s="1085">
        <f t="shared" ref="I16" si="2">SUM(I4:I15)</f>
        <v>282757</v>
      </c>
      <c r="J16" s="1086">
        <f t="shared" ref="J16" si="3">SUM(J4:J15)</f>
        <v>2141724.6500000004</v>
      </c>
      <c r="K16" s="1085">
        <f>SUM(K4:K15)</f>
        <v>266492</v>
      </c>
      <c r="L16" s="1086">
        <f>SUM(L4:L15)</f>
        <v>1987364.87</v>
      </c>
      <c r="M16" s="308">
        <f t="shared" ref="M16" si="4">SUM(M4:M15)</f>
        <v>619775</v>
      </c>
      <c r="N16" s="422">
        <f t="shared" ref="N16" si="5">SUM(N4:N15)</f>
        <v>1414973</v>
      </c>
      <c r="O16" s="308">
        <f t="shared" ref="O16" si="6">SUM(O4:O15)</f>
        <v>534773</v>
      </c>
      <c r="P16" s="109">
        <f t="shared" ref="P16" si="7">SUM(P4:P15)</f>
        <v>1165912</v>
      </c>
      <c r="Q16" s="308">
        <f t="shared" ref="Q16" si="8">SUM(Q4:Q15)</f>
        <v>610278</v>
      </c>
      <c r="R16" s="309">
        <f t="shared" ref="R16" si="9">SUM(R4:R15)</f>
        <v>1298269</v>
      </c>
      <c r="S16" s="424">
        <f>SUM(S4:S15)</f>
        <v>577762.22222222225</v>
      </c>
      <c r="T16" s="421">
        <f>SUM(T4:T15)</f>
        <v>2075617.71</v>
      </c>
      <c r="W16" s="1119" t="s">
        <v>319</v>
      </c>
      <c r="X16" s="1130">
        <v>1954.7270000000001</v>
      </c>
      <c r="Y16" s="1131">
        <v>125.21699999999998</v>
      </c>
      <c r="Z16" s="1132">
        <v>2079.944</v>
      </c>
    </row>
    <row r="17" spans="2:28">
      <c r="B17" s="1087"/>
      <c r="C17" s="1087"/>
      <c r="D17" s="1087"/>
      <c r="E17" s="1087"/>
      <c r="F17" s="1087"/>
      <c r="G17" s="1087"/>
      <c r="H17" s="1087"/>
      <c r="I17" s="1087"/>
      <c r="J17" s="1087"/>
      <c r="K17" s="1087"/>
      <c r="L17" s="1087"/>
    </row>
    <row r="18" spans="2:28">
      <c r="B18" s="1708">
        <v>2019</v>
      </c>
      <c r="C18" s="1709"/>
      <c r="D18" s="1709"/>
      <c r="E18" s="1087"/>
      <c r="F18" s="1087"/>
      <c r="G18" s="1087"/>
      <c r="H18" s="1087"/>
      <c r="I18" s="1087"/>
      <c r="J18" s="1087"/>
      <c r="K18" s="1087"/>
      <c r="L18" s="1087"/>
      <c r="M18">
        <f>M16*3.6/1000</f>
        <v>2231.19</v>
      </c>
      <c r="O18">
        <f>O16*3.6/1000</f>
        <v>1925.1828</v>
      </c>
      <c r="Q18">
        <f>Q16*3.6/1000</f>
        <v>2197.0008000000003</v>
      </c>
      <c r="S18">
        <f>S16*3.6/1000</f>
        <v>2079.9440000000004</v>
      </c>
    </row>
    <row r="19" spans="2:28">
      <c r="B19" s="1088" t="s">
        <v>1</v>
      </c>
      <c r="C19" s="1088" t="s">
        <v>2</v>
      </c>
      <c r="D19" s="1088" t="s">
        <v>3</v>
      </c>
      <c r="E19" s="1087"/>
      <c r="F19" s="1087"/>
      <c r="G19" s="1087"/>
      <c r="H19" s="1087"/>
      <c r="I19" s="1087"/>
      <c r="J19" s="1087"/>
      <c r="K19" s="1087"/>
      <c r="L19" s="1087"/>
    </row>
    <row r="20" spans="2:28">
      <c r="B20" s="1060"/>
      <c r="C20" s="1061">
        <f>C4</f>
        <v>22416</v>
      </c>
      <c r="D20" s="1089">
        <f>D4</f>
        <v>150534</v>
      </c>
      <c r="E20" s="1090">
        <f t="shared" ref="E20:E22" si="10">D20/C20</f>
        <v>6.7154710920770881</v>
      </c>
      <c r="F20" s="1087"/>
      <c r="G20" s="1087"/>
      <c r="H20" s="1087"/>
      <c r="I20" s="1112"/>
      <c r="J20" s="1112"/>
      <c r="K20" s="1112"/>
      <c r="L20" s="1112"/>
      <c r="M20" s="1058" t="s">
        <v>26</v>
      </c>
      <c r="N20" s="1057"/>
      <c r="O20" s="1057"/>
      <c r="P20" s="1057"/>
      <c r="Q20" s="1057"/>
      <c r="R20" s="1057"/>
      <c r="S20" s="1057"/>
      <c r="V20" s="1142" t="s">
        <v>28</v>
      </c>
      <c r="W20" s="1141"/>
      <c r="X20" s="1141"/>
      <c r="Y20" s="1141"/>
      <c r="Z20" s="1141"/>
      <c r="AA20" s="1141"/>
    </row>
    <row r="21" spans="2:28">
      <c r="B21" s="1067"/>
      <c r="C21" s="1068">
        <f t="shared" ref="C21:D31" si="11">C5</f>
        <v>21158</v>
      </c>
      <c r="D21" s="1091">
        <f t="shared" si="11"/>
        <v>143105</v>
      </c>
      <c r="E21" s="1090">
        <f t="shared" si="10"/>
        <v>6.7636355043009733</v>
      </c>
      <c r="F21" s="1087"/>
      <c r="G21" s="1087"/>
      <c r="I21" s="1107"/>
      <c r="J21" s="1109">
        <v>2020</v>
      </c>
      <c r="K21" s="1108"/>
      <c r="L21" s="1087"/>
      <c r="M21" s="1046"/>
      <c r="N21" s="1049">
        <v>2021</v>
      </c>
      <c r="O21" s="1048"/>
      <c r="P21" s="1037"/>
      <c r="Q21" s="1046"/>
      <c r="R21" s="1049">
        <v>2022</v>
      </c>
      <c r="S21" s="1048"/>
      <c r="V21" s="1707">
        <v>2022</v>
      </c>
      <c r="W21" s="1707"/>
      <c r="X21" s="1707"/>
      <c r="Y21" s="1707"/>
      <c r="Z21" s="1707"/>
      <c r="AA21" s="1623"/>
    </row>
    <row r="22" spans="2:28" ht="15.75" thickBot="1">
      <c r="B22" s="1067"/>
      <c r="C22" s="1068">
        <f t="shared" si="11"/>
        <v>23330</v>
      </c>
      <c r="D22" s="1091">
        <f t="shared" si="11"/>
        <v>167499</v>
      </c>
      <c r="E22" s="1090">
        <f t="shared" si="10"/>
        <v>7.1795542220317188</v>
      </c>
      <c r="F22" s="1087"/>
      <c r="G22" s="1087"/>
      <c r="I22" s="1107"/>
      <c r="J22" s="1047" t="s">
        <v>3</v>
      </c>
      <c r="K22" s="1048" t="s">
        <v>1</v>
      </c>
      <c r="L22" s="1087"/>
      <c r="M22" s="1046"/>
      <c r="N22" s="1047" t="s">
        <v>3</v>
      </c>
      <c r="O22" s="1048" t="s">
        <v>1</v>
      </c>
      <c r="P22" s="1037"/>
      <c r="Q22" s="1046"/>
      <c r="R22" s="1047" t="s">
        <v>3</v>
      </c>
      <c r="S22" s="1048" t="s">
        <v>1</v>
      </c>
    </row>
    <row r="23" spans="2:28" ht="15.75" thickBot="1">
      <c r="B23" s="1067"/>
      <c r="C23" s="1068">
        <f t="shared" si="11"/>
        <v>5136</v>
      </c>
      <c r="D23" s="1091">
        <f t="shared" si="11"/>
        <v>60793.03</v>
      </c>
      <c r="E23" s="1090">
        <f>D23/C23</f>
        <v>11.83664914330218</v>
      </c>
      <c r="F23" s="1087"/>
      <c r="G23" s="1087"/>
      <c r="I23" s="1107"/>
      <c r="J23" s="1095" t="s">
        <v>317</v>
      </c>
      <c r="K23" s="1096" t="s">
        <v>318</v>
      </c>
      <c r="L23" s="1087"/>
      <c r="M23" s="1046"/>
      <c r="N23" s="1038" t="s">
        <v>317</v>
      </c>
      <c r="O23" s="1039" t="s">
        <v>318</v>
      </c>
      <c r="P23" s="1037"/>
      <c r="Q23" s="1046"/>
      <c r="R23" s="1038" t="s">
        <v>317</v>
      </c>
      <c r="S23" s="1039" t="s">
        <v>318</v>
      </c>
      <c r="W23" s="1160" t="s">
        <v>323</v>
      </c>
      <c r="X23" s="1161" t="s">
        <v>324</v>
      </c>
      <c r="Y23" s="1161" t="s">
        <v>325</v>
      </c>
      <c r="Z23" s="1162" t="s">
        <v>324</v>
      </c>
      <c r="AA23" s="1163" t="s">
        <v>326</v>
      </c>
    </row>
    <row r="24" spans="2:28">
      <c r="B24" s="1067"/>
      <c r="C24" s="1068">
        <f t="shared" si="11"/>
        <v>6512</v>
      </c>
      <c r="D24" s="1091">
        <f t="shared" si="11"/>
        <v>57193.77</v>
      </c>
      <c r="E24" s="1090">
        <f>D24/C24</f>
        <v>8.7828270884520876</v>
      </c>
      <c r="F24" s="1087"/>
      <c r="G24" s="1087"/>
      <c r="I24" s="1097" t="s">
        <v>35</v>
      </c>
      <c r="J24" s="1098">
        <v>156235.07999999999</v>
      </c>
      <c r="K24" s="1099">
        <v>55071</v>
      </c>
      <c r="L24" s="1087"/>
      <c r="M24" s="1040" t="s">
        <v>35</v>
      </c>
      <c r="N24" s="1050">
        <v>117012.02</v>
      </c>
      <c r="O24" s="1051">
        <v>32226</v>
      </c>
      <c r="P24" s="1037"/>
      <c r="Q24" s="1040" t="s">
        <v>35</v>
      </c>
      <c r="R24" s="1050">
        <v>202604.58</v>
      </c>
      <c r="S24" s="1051">
        <v>64623</v>
      </c>
      <c r="V24" s="1137" t="s">
        <v>35</v>
      </c>
      <c r="W24" s="1144">
        <v>24340</v>
      </c>
      <c r="X24" s="1145">
        <v>461</v>
      </c>
      <c r="Y24" s="1145">
        <v>30636.91</v>
      </c>
      <c r="Z24" s="1146">
        <v>640.12</v>
      </c>
      <c r="AA24" s="1147">
        <v>60474.71</v>
      </c>
    </row>
    <row r="25" spans="2:28">
      <c r="B25" s="1067"/>
      <c r="C25" s="1068">
        <f t="shared" si="11"/>
        <v>5257</v>
      </c>
      <c r="D25" s="1091">
        <f t="shared" si="11"/>
        <v>54672.19</v>
      </c>
      <c r="E25" s="1090">
        <f t="shared" ref="E25:E33" si="12">D25/C25</f>
        <v>10.399883964238159</v>
      </c>
      <c r="F25" s="1087"/>
      <c r="G25" s="1087"/>
      <c r="I25" s="1100" t="s">
        <v>36</v>
      </c>
      <c r="J25" s="1101">
        <v>150850.59</v>
      </c>
      <c r="K25" s="1102">
        <v>53350</v>
      </c>
      <c r="L25" s="1087"/>
      <c r="M25" s="1041" t="s">
        <v>36</v>
      </c>
      <c r="N25" s="1052">
        <v>118759.12</v>
      </c>
      <c r="O25" s="1053">
        <v>32025</v>
      </c>
      <c r="P25" s="1037"/>
      <c r="Q25" s="1041" t="s">
        <v>36</v>
      </c>
      <c r="R25" s="1052">
        <v>203002.91</v>
      </c>
      <c r="S25" s="1053">
        <v>63851</v>
      </c>
      <c r="V25" s="1138" t="s">
        <v>36</v>
      </c>
      <c r="W25" s="1148">
        <v>17908.080000000002</v>
      </c>
      <c r="X25" s="1149">
        <v>332</v>
      </c>
      <c r="Y25" s="1149">
        <v>22177.96</v>
      </c>
      <c r="Z25" s="1150">
        <v>459.26600000000002</v>
      </c>
      <c r="AA25" s="1151">
        <v>44094.65</v>
      </c>
    </row>
    <row r="26" spans="2:28">
      <c r="B26" s="1067"/>
      <c r="C26" s="1068">
        <f t="shared" si="11"/>
        <v>21558</v>
      </c>
      <c r="D26" s="1091">
        <f t="shared" si="11"/>
        <v>137646.26999999999</v>
      </c>
      <c r="E26" s="1090">
        <f t="shared" si="12"/>
        <v>6.3849276370720842</v>
      </c>
      <c r="F26" s="1087"/>
      <c r="G26" s="1087"/>
      <c r="I26" s="1100" t="s">
        <v>37</v>
      </c>
      <c r="J26" s="1101">
        <v>107106.98</v>
      </c>
      <c r="K26" s="1102">
        <v>30539</v>
      </c>
      <c r="L26" s="1087"/>
      <c r="M26" s="1041" t="s">
        <v>37</v>
      </c>
      <c r="N26" s="1052">
        <v>129358.03</v>
      </c>
      <c r="O26" s="1053">
        <v>35419</v>
      </c>
      <c r="P26" s="1037"/>
      <c r="Q26" s="1041" t="s">
        <v>37</v>
      </c>
      <c r="R26" s="1052">
        <v>188286.62</v>
      </c>
      <c r="S26" s="1053">
        <v>59403</v>
      </c>
      <c r="V26" s="1138" t="s">
        <v>37</v>
      </c>
      <c r="W26" s="1148">
        <v>9978.9</v>
      </c>
      <c r="X26" s="1149">
        <v>185</v>
      </c>
      <c r="Y26" s="1149">
        <v>13323.4</v>
      </c>
      <c r="Z26" s="1150">
        <v>275.904</v>
      </c>
      <c r="AA26" s="1151">
        <v>25632.53</v>
      </c>
    </row>
    <row r="27" spans="2:28">
      <c r="B27" s="1067"/>
      <c r="C27" s="1068">
        <f t="shared" si="11"/>
        <v>34789</v>
      </c>
      <c r="D27" s="1091">
        <f t="shared" si="11"/>
        <v>185969.75</v>
      </c>
      <c r="E27" s="1090">
        <f t="shared" si="12"/>
        <v>5.3456480496708734</v>
      </c>
      <c r="F27" s="1087"/>
      <c r="G27" s="1087"/>
      <c r="I27" s="1100" t="s">
        <v>38</v>
      </c>
      <c r="J27" s="1101">
        <v>28332.07</v>
      </c>
      <c r="K27" s="1102">
        <v>9872</v>
      </c>
      <c r="L27" s="1087"/>
      <c r="M27" s="1041" t="s">
        <v>38</v>
      </c>
      <c r="N27" s="1052">
        <v>130199.15</v>
      </c>
      <c r="O27" s="1053">
        <v>37748</v>
      </c>
      <c r="P27" s="1037"/>
      <c r="Q27" s="1041" t="s">
        <v>38</v>
      </c>
      <c r="R27" s="1052">
        <v>81388.17</v>
      </c>
      <c r="S27" s="1053">
        <v>16616</v>
      </c>
      <c r="V27" s="1138" t="s">
        <v>38</v>
      </c>
      <c r="W27" s="1148">
        <v>5232.18</v>
      </c>
      <c r="X27" s="1149">
        <v>97</v>
      </c>
      <c r="Y27" s="1149">
        <v>11268.76</v>
      </c>
      <c r="Z27" s="1149">
        <v>233.35599999999999</v>
      </c>
      <c r="AA27" s="1152">
        <v>18151.03</v>
      </c>
    </row>
    <row r="28" spans="2:28">
      <c r="B28" s="1067"/>
      <c r="C28" s="1068">
        <f t="shared" si="11"/>
        <v>26211</v>
      </c>
      <c r="D28" s="1091">
        <f t="shared" si="11"/>
        <v>177412.6</v>
      </c>
      <c r="E28" s="1090">
        <f t="shared" si="12"/>
        <v>6.7686314905955518</v>
      </c>
      <c r="F28" s="1087"/>
      <c r="G28" s="1087"/>
      <c r="I28" s="1100" t="s">
        <v>39</v>
      </c>
      <c r="J28" s="1101">
        <v>32926.199999999997</v>
      </c>
      <c r="K28" s="1102">
        <v>11529</v>
      </c>
      <c r="L28" s="1087"/>
      <c r="M28" s="1041" t="s">
        <v>39</v>
      </c>
      <c r="N28" s="1052">
        <v>196308.74</v>
      </c>
      <c r="O28" s="1053">
        <v>66005</v>
      </c>
      <c r="P28" s="1037"/>
      <c r="Q28" s="1041" t="s">
        <v>39</v>
      </c>
      <c r="R28" s="1052">
        <v>78954.42</v>
      </c>
      <c r="S28" s="1053">
        <v>13934</v>
      </c>
      <c r="V28" s="1138" t="s">
        <v>39</v>
      </c>
      <c r="W28" s="1148">
        <v>5717.64</v>
      </c>
      <c r="X28" s="1149">
        <v>106</v>
      </c>
      <c r="Y28" s="1149">
        <v>11922.85</v>
      </c>
      <c r="Z28" s="1150">
        <v>246.90100000000001</v>
      </c>
      <c r="AA28" s="1151">
        <v>19404.54</v>
      </c>
    </row>
    <row r="29" spans="2:28">
      <c r="B29" s="1067"/>
      <c r="C29" s="1068">
        <f t="shared" si="11"/>
        <v>26887</v>
      </c>
      <c r="D29" s="1091">
        <f t="shared" si="11"/>
        <v>173380.83</v>
      </c>
      <c r="E29" s="1090">
        <f t="shared" si="12"/>
        <v>6.4485003905233009</v>
      </c>
      <c r="F29" s="1087"/>
      <c r="G29" s="1087"/>
      <c r="I29" s="1100" t="s">
        <v>40</v>
      </c>
      <c r="J29" s="1101">
        <v>37370.39</v>
      </c>
      <c r="K29" s="1102">
        <v>12892</v>
      </c>
      <c r="L29" s="1087"/>
      <c r="M29" s="1041" t="s">
        <v>40</v>
      </c>
      <c r="N29" s="1052">
        <v>227393.55</v>
      </c>
      <c r="O29" s="1053">
        <v>84417</v>
      </c>
      <c r="P29" s="1037"/>
      <c r="Q29" s="1041" t="s">
        <v>40</v>
      </c>
      <c r="R29" s="1052">
        <v>67901.399999999994</v>
      </c>
      <c r="S29" s="1053">
        <v>12240</v>
      </c>
      <c r="V29" s="1138" t="s">
        <v>40</v>
      </c>
      <c r="W29" s="1148">
        <v>5394</v>
      </c>
      <c r="X29" s="1149">
        <v>100</v>
      </c>
      <c r="Y29" s="1149">
        <v>11413.63</v>
      </c>
      <c r="Z29" s="1150">
        <v>236.35599999999999</v>
      </c>
      <c r="AA29" s="1151">
        <v>18488.39</v>
      </c>
    </row>
    <row r="30" spans="2:28">
      <c r="B30" s="1067"/>
      <c r="C30" s="1068">
        <f t="shared" si="11"/>
        <v>22091</v>
      </c>
      <c r="D30" s="1091">
        <f t="shared" si="11"/>
        <v>157274.13</v>
      </c>
      <c r="E30" s="1090">
        <f t="shared" si="12"/>
        <v>7.1193757638857456</v>
      </c>
      <c r="F30" s="1087"/>
      <c r="G30" s="1087"/>
      <c r="I30" s="1100" t="s">
        <v>41</v>
      </c>
      <c r="J30" s="1101">
        <v>63608.13</v>
      </c>
      <c r="K30" s="1102">
        <v>12005</v>
      </c>
      <c r="L30" s="1087"/>
      <c r="M30" s="1041" t="s">
        <v>41</v>
      </c>
      <c r="N30" s="1052">
        <v>216409.75</v>
      </c>
      <c r="O30" s="1053">
        <v>76328</v>
      </c>
      <c r="P30" s="1037"/>
      <c r="Q30" s="1041" t="s">
        <v>41</v>
      </c>
      <c r="R30" s="1052">
        <v>150066.98000000001</v>
      </c>
      <c r="S30" s="1053">
        <v>44809</v>
      </c>
      <c r="V30" s="1138" t="s">
        <v>41</v>
      </c>
      <c r="W30" s="1148">
        <v>24434.82</v>
      </c>
      <c r="X30" s="1149">
        <v>453</v>
      </c>
      <c r="Y30" s="1149">
        <v>28460</v>
      </c>
      <c r="Z30" s="1150">
        <v>589.35599999999999</v>
      </c>
      <c r="AA30" s="1151">
        <v>58184.3</v>
      </c>
    </row>
    <row r="31" spans="2:28">
      <c r="B31" s="1074"/>
      <c r="C31" s="1075">
        <f t="shared" si="11"/>
        <v>19320</v>
      </c>
      <c r="D31" s="1092">
        <f t="shared" si="11"/>
        <v>147554.67000000001</v>
      </c>
      <c r="E31" s="1090">
        <f t="shared" si="12"/>
        <v>7.6374052795031062</v>
      </c>
      <c r="F31" s="1087"/>
      <c r="G31" s="1087"/>
      <c r="I31" s="1100" t="s">
        <v>42</v>
      </c>
      <c r="J31" s="1101">
        <v>114200.82</v>
      </c>
      <c r="K31" s="1102">
        <v>37654</v>
      </c>
      <c r="L31" s="1087"/>
      <c r="M31" s="1041" t="s">
        <v>42</v>
      </c>
      <c r="N31" s="1052">
        <v>231570.73</v>
      </c>
      <c r="O31" s="1053">
        <v>81298</v>
      </c>
      <c r="P31" s="1037"/>
      <c r="Q31" s="1041" t="s">
        <v>42</v>
      </c>
      <c r="R31" s="1052">
        <v>237340.42</v>
      </c>
      <c r="S31" s="1053">
        <v>88582</v>
      </c>
      <c r="V31" s="1143" t="s">
        <v>42</v>
      </c>
      <c r="W31" s="1148">
        <v>64026.78</v>
      </c>
      <c r="X31" s="1149">
        <v>1187</v>
      </c>
      <c r="Y31" s="1149">
        <v>64343.87</v>
      </c>
      <c r="Z31" s="1150">
        <v>1332.4469999999999</v>
      </c>
      <c r="AA31" s="1151">
        <v>141207.72</v>
      </c>
      <c r="AB31" s="179"/>
    </row>
    <row r="32" spans="2:28">
      <c r="B32" s="1081"/>
      <c r="C32" s="1082">
        <f t="shared" ref="C32:D32" si="13">SUM(C20:C31)</f>
        <v>234665</v>
      </c>
      <c r="D32" s="1082">
        <f t="shared" si="13"/>
        <v>1613035.2400000002</v>
      </c>
      <c r="E32" s="1090">
        <f t="shared" si="12"/>
        <v>6.8737785353589169</v>
      </c>
      <c r="F32" s="1087"/>
      <c r="G32" s="1087"/>
      <c r="I32" s="1100" t="s">
        <v>43</v>
      </c>
      <c r="J32" s="1101">
        <v>180971.07</v>
      </c>
      <c r="K32" s="1102">
        <v>76494</v>
      </c>
      <c r="L32" s="1087"/>
      <c r="M32" s="1041" t="s">
        <v>43</v>
      </c>
      <c r="N32" s="1052">
        <v>228675.18</v>
      </c>
      <c r="O32" s="1053">
        <v>79834</v>
      </c>
      <c r="P32" s="1037"/>
      <c r="Q32" s="1041" t="s">
        <v>43</v>
      </c>
      <c r="R32" s="1052">
        <v>211222.5</v>
      </c>
      <c r="S32" s="1053">
        <v>75425</v>
      </c>
      <c r="V32" s="1138" t="s">
        <v>43</v>
      </c>
      <c r="W32" s="1148">
        <v>36841.019999999997</v>
      </c>
      <c r="X32" s="1149">
        <v>683</v>
      </c>
      <c r="Y32" s="1149">
        <v>39566.699999999997</v>
      </c>
      <c r="Z32" s="1150">
        <v>819.35599999999999</v>
      </c>
      <c r="AA32" s="1151">
        <v>84048.49</v>
      </c>
    </row>
    <row r="33" spans="2:27">
      <c r="B33" s="1087"/>
      <c r="C33" s="1093">
        <f>SUM(C24:C31)</f>
        <v>162625</v>
      </c>
      <c r="D33" s="1093">
        <f>SUM(D24:D31)</f>
        <v>1091104.21</v>
      </c>
      <c r="E33" s="1090">
        <f t="shared" si="12"/>
        <v>6.709326425826287</v>
      </c>
      <c r="F33" s="1087"/>
      <c r="G33" s="1087"/>
      <c r="I33" s="1100" t="s">
        <v>44</v>
      </c>
      <c r="J33" s="1101">
        <v>134825.17000000001</v>
      </c>
      <c r="K33" s="1102">
        <v>46109</v>
      </c>
      <c r="L33" s="1087"/>
      <c r="M33" s="1041" t="s">
        <v>44</v>
      </c>
      <c r="N33" s="1052">
        <v>217166.88</v>
      </c>
      <c r="O33" s="1053">
        <v>70951</v>
      </c>
      <c r="P33" s="1037"/>
      <c r="Q33" s="1041" t="s">
        <v>44</v>
      </c>
      <c r="R33" s="1052">
        <v>192433.46</v>
      </c>
      <c r="S33" s="1053">
        <v>78954</v>
      </c>
      <c r="V33" s="1138" t="s">
        <v>44</v>
      </c>
      <c r="W33" s="1148">
        <v>27185.759999999998</v>
      </c>
      <c r="X33" s="1149">
        <v>504</v>
      </c>
      <c r="Y33" s="1149">
        <v>31142.27</v>
      </c>
      <c r="Z33" s="1150">
        <v>644.90099999999995</v>
      </c>
      <c r="AA33" s="1151">
        <v>64160.83</v>
      </c>
    </row>
    <row r="34" spans="2:27">
      <c r="B34" s="1087" t="s">
        <v>147</v>
      </c>
      <c r="C34" s="1094" t="s">
        <v>146</v>
      </c>
      <c r="D34" s="1087"/>
      <c r="E34" s="1087"/>
      <c r="F34" s="1087"/>
      <c r="G34" s="1087"/>
      <c r="I34" s="1100" t="s">
        <v>45</v>
      </c>
      <c r="J34" s="1101">
        <v>109401.15</v>
      </c>
      <c r="K34" s="1102">
        <v>32427</v>
      </c>
      <c r="L34" s="1087"/>
      <c r="M34" s="1041" t="s">
        <v>45</v>
      </c>
      <c r="N34" s="1052">
        <v>164518.91</v>
      </c>
      <c r="O34" s="1053">
        <v>62836</v>
      </c>
      <c r="P34" s="1037"/>
      <c r="Q34" s="1041" t="s">
        <v>45</v>
      </c>
      <c r="R34" s="1052">
        <v>191417.74</v>
      </c>
      <c r="S34" s="1056">
        <v>74457</v>
      </c>
      <c r="V34" s="1138" t="s">
        <v>45</v>
      </c>
      <c r="W34" s="1148">
        <v>14833.5</v>
      </c>
      <c r="X34" s="1149">
        <v>275</v>
      </c>
      <c r="Y34" s="1149">
        <v>20083.86</v>
      </c>
      <c r="Z34" s="1150">
        <v>415.90100000000001</v>
      </c>
      <c r="AA34" s="1151">
        <v>38409.1</v>
      </c>
    </row>
    <row r="35" spans="2:27" ht="15.75" thickBot="1">
      <c r="B35" s="1087" t="s">
        <v>148</v>
      </c>
      <c r="C35" s="1087"/>
      <c r="D35" s="1087"/>
      <c r="E35" s="1087"/>
      <c r="F35" s="1087"/>
      <c r="G35" s="1087"/>
      <c r="I35" s="1103" t="s">
        <v>46</v>
      </c>
      <c r="J35" s="1110">
        <v>121441.57</v>
      </c>
      <c r="K35" s="1111">
        <v>39302</v>
      </c>
      <c r="L35" s="1087"/>
      <c r="M35" s="1042" t="s">
        <v>46</v>
      </c>
      <c r="N35" s="1054">
        <v>164352.51</v>
      </c>
      <c r="O35" s="1055">
        <v>61136</v>
      </c>
      <c r="P35" s="1037"/>
      <c r="Q35" s="1042" t="s">
        <v>46</v>
      </c>
      <c r="R35" s="1054">
        <v>182747.87</v>
      </c>
      <c r="S35" s="1055">
        <v>68771</v>
      </c>
      <c r="V35" s="1139" t="s">
        <v>46</v>
      </c>
      <c r="W35" s="1153">
        <v>13323.18</v>
      </c>
      <c r="X35" s="1154">
        <v>247</v>
      </c>
      <c r="Y35" s="1154">
        <v>18512.259999999998</v>
      </c>
      <c r="Z35" s="1155">
        <v>383.35599999999999</v>
      </c>
      <c r="AA35" s="1151">
        <v>35018.980000000003</v>
      </c>
    </row>
    <row r="36" spans="2:27" ht="15.75" thickBot="1">
      <c r="I36" s="1104" t="s">
        <v>319</v>
      </c>
      <c r="J36" s="1105">
        <v>1237269.2200000002</v>
      </c>
      <c r="K36" s="1106">
        <v>417244</v>
      </c>
      <c r="M36" s="1043" t="s">
        <v>319</v>
      </c>
      <c r="N36" s="1044">
        <v>2141724.5699999998</v>
      </c>
      <c r="O36" s="1045">
        <v>720223</v>
      </c>
      <c r="P36" s="1037"/>
      <c r="Q36" s="1043" t="s">
        <v>319</v>
      </c>
      <c r="R36" s="1044">
        <v>1987367.0699999998</v>
      </c>
      <c r="S36" s="1045">
        <v>661665</v>
      </c>
      <c r="V36" s="1140" t="s">
        <v>319</v>
      </c>
      <c r="W36" s="1156">
        <f>SUM(W24:W35)</f>
        <v>249215.86</v>
      </c>
      <c r="X36" s="1157">
        <f>SUM(X24:X35)</f>
        <v>4630</v>
      </c>
      <c r="Y36" s="1157">
        <f>SUM(Y24:Y35)</f>
        <v>302852.47000000003</v>
      </c>
      <c r="Z36" s="1158">
        <f>SUM(Z24:Z35)</f>
        <v>6277.2199999999993</v>
      </c>
      <c r="AA36" s="1159">
        <f>SUM(AA24:AA35)</f>
        <v>607275.2699999999</v>
      </c>
    </row>
    <row r="38" spans="2:27">
      <c r="J38">
        <f>J36/K36</f>
        <v>2.9653373565587526</v>
      </c>
      <c r="N38">
        <f>N36/O36</f>
        <v>2.9736964384641977</v>
      </c>
      <c r="R38">
        <f>R36/S36</f>
        <v>3.0035850014735552</v>
      </c>
    </row>
  </sheetData>
  <mergeCells count="22">
    <mergeCell ref="W1:Z1"/>
    <mergeCell ref="S4:S15"/>
    <mergeCell ref="T4:T15"/>
    <mergeCell ref="O2:P2"/>
    <mergeCell ref="Q2:R2"/>
    <mergeCell ref="B1:L1"/>
    <mergeCell ref="K2:L2"/>
    <mergeCell ref="M1:T1"/>
    <mergeCell ref="S2:T2"/>
    <mergeCell ref="A1:A3"/>
    <mergeCell ref="B2:D2"/>
    <mergeCell ref="E2:G2"/>
    <mergeCell ref="H2:J2"/>
    <mergeCell ref="M2:N2"/>
    <mergeCell ref="V21:AA21"/>
    <mergeCell ref="B18:D18"/>
    <mergeCell ref="P4:P15"/>
    <mergeCell ref="O4:O15"/>
    <mergeCell ref="R4:R15"/>
    <mergeCell ref="Q4:Q15"/>
    <mergeCell ref="M4:M15"/>
    <mergeCell ref="N4:N15"/>
  </mergeCells>
  <pageMargins left="0.7" right="0.7" top="0.78740157499999996" bottom="0.78740157499999996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30"/>
  <sheetViews>
    <sheetView workbookViewId="0">
      <selection activeCell="L17" sqref="L17"/>
    </sheetView>
  </sheetViews>
  <sheetFormatPr defaultColWidth="8.85546875" defaultRowHeight="15"/>
  <cols>
    <col min="2" max="2" width="9.42578125" bestFit="1" customWidth="1"/>
    <col min="3" max="3" width="10.42578125" bestFit="1" customWidth="1"/>
    <col min="4" max="4" width="9.42578125" bestFit="1" customWidth="1"/>
    <col min="5" max="5" width="10.42578125" bestFit="1" customWidth="1"/>
    <col min="6" max="6" width="9.42578125" bestFit="1" customWidth="1"/>
    <col min="7" max="7" width="10.42578125" bestFit="1" customWidth="1"/>
    <col min="9" max="10" width="10.42578125" bestFit="1" customWidth="1"/>
    <col min="11" max="11" width="10.42578125" customWidth="1"/>
    <col min="12" max="12" width="11.42578125" bestFit="1" customWidth="1"/>
    <col min="13" max="34" width="10.42578125" customWidth="1"/>
  </cols>
  <sheetData>
    <row r="1" spans="1:45">
      <c r="A1" s="1255"/>
      <c r="B1" s="1688" t="s">
        <v>0</v>
      </c>
      <c r="C1" s="1689"/>
      <c r="D1" s="1689"/>
      <c r="E1" s="1689"/>
      <c r="F1" s="1689"/>
      <c r="G1" s="1689"/>
      <c r="H1" s="1689"/>
      <c r="I1" s="1689"/>
      <c r="J1" s="1689"/>
      <c r="K1" s="1263"/>
      <c r="L1" s="1264"/>
      <c r="M1" s="1688" t="s">
        <v>92</v>
      </c>
      <c r="N1" s="1689"/>
      <c r="O1" s="1689"/>
      <c r="P1" s="1689"/>
      <c r="Q1" s="1689"/>
      <c r="R1" s="1689"/>
      <c r="S1" s="1689"/>
      <c r="T1" s="1689"/>
      <c r="U1" s="1689"/>
      <c r="V1" s="1263"/>
      <c r="W1" s="1264"/>
      <c r="X1" s="1688" t="s">
        <v>90</v>
      </c>
      <c r="Y1" s="1689"/>
      <c r="Z1" s="1689"/>
      <c r="AA1" s="1689"/>
      <c r="AB1" s="1689"/>
      <c r="AC1" s="1689"/>
      <c r="AD1" s="1689"/>
      <c r="AE1" s="1689"/>
      <c r="AF1" s="1689"/>
      <c r="AG1" s="1263"/>
      <c r="AH1" s="1264"/>
      <c r="AI1" s="1730" t="s">
        <v>91</v>
      </c>
      <c r="AJ1" s="1731"/>
      <c r="AK1" s="1731"/>
      <c r="AL1" s="1731"/>
      <c r="AM1" s="1731"/>
      <c r="AN1" s="1731"/>
      <c r="AO1" s="1731"/>
      <c r="AP1" s="1731"/>
      <c r="AQ1" s="1731"/>
      <c r="AR1" s="1584"/>
      <c r="AS1" s="1584"/>
    </row>
    <row r="2" spans="1:45">
      <c r="A2" s="1255"/>
      <c r="B2" s="1684">
        <v>2019</v>
      </c>
      <c r="C2" s="1685"/>
      <c r="D2" s="1685"/>
      <c r="E2" s="1684">
        <v>2020</v>
      </c>
      <c r="F2" s="1685"/>
      <c r="G2" s="1685"/>
      <c r="H2" s="1684">
        <v>2021</v>
      </c>
      <c r="I2" s="1685"/>
      <c r="J2" s="1685"/>
      <c r="K2" s="1690">
        <v>2022</v>
      </c>
      <c r="L2" s="1691"/>
      <c r="M2" s="1734">
        <v>2019</v>
      </c>
      <c r="N2" s="1735"/>
      <c r="O2" s="1735"/>
      <c r="P2" s="1734">
        <v>2020</v>
      </c>
      <c r="Q2" s="1735"/>
      <c r="R2" s="1735"/>
      <c r="S2" s="1734">
        <v>2021</v>
      </c>
      <c r="T2" s="1735"/>
      <c r="U2" s="1735"/>
      <c r="V2" s="1733">
        <v>2022</v>
      </c>
      <c r="W2" s="1691"/>
      <c r="X2" s="1736">
        <v>2019</v>
      </c>
      <c r="Y2" s="1737"/>
      <c r="Z2" s="1737"/>
      <c r="AA2" s="1736">
        <v>2020</v>
      </c>
      <c r="AB2" s="1737"/>
      <c r="AC2" s="1737"/>
      <c r="AD2" s="1736">
        <v>2021</v>
      </c>
      <c r="AE2" s="1737"/>
      <c r="AF2" s="1737"/>
      <c r="AG2" s="1738">
        <v>2022</v>
      </c>
      <c r="AH2" s="1691"/>
      <c r="AI2" s="1739">
        <v>2019</v>
      </c>
      <c r="AJ2" s="1740"/>
      <c r="AK2" s="1740"/>
      <c r="AL2" s="1739">
        <v>2020</v>
      </c>
      <c r="AM2" s="1740"/>
      <c r="AN2" s="1740"/>
      <c r="AO2" s="1739">
        <v>2021</v>
      </c>
      <c r="AP2" s="1740"/>
      <c r="AQ2" s="1740"/>
      <c r="AR2" s="1732">
        <v>2022</v>
      </c>
      <c r="AS2" s="1691"/>
    </row>
    <row r="3" spans="1:45">
      <c r="A3" s="1255"/>
      <c r="B3" s="20" t="s">
        <v>1</v>
      </c>
      <c r="C3" s="20" t="s">
        <v>2</v>
      </c>
      <c r="D3" s="20" t="s">
        <v>3</v>
      </c>
      <c r="E3" s="20" t="s">
        <v>1</v>
      </c>
      <c r="F3" s="20" t="s">
        <v>2</v>
      </c>
      <c r="G3" s="20" t="s">
        <v>3</v>
      </c>
      <c r="H3" s="20" t="s">
        <v>1</v>
      </c>
      <c r="I3" s="20" t="s">
        <v>2</v>
      </c>
      <c r="J3" s="20" t="s">
        <v>3</v>
      </c>
      <c r="K3" s="20" t="s">
        <v>1</v>
      </c>
      <c r="L3" s="20" t="s">
        <v>3</v>
      </c>
      <c r="M3" s="20" t="s">
        <v>6</v>
      </c>
      <c r="N3" s="20" t="s">
        <v>7</v>
      </c>
      <c r="O3" s="20" t="s">
        <v>3</v>
      </c>
      <c r="P3" s="20" t="s">
        <v>6</v>
      </c>
      <c r="Q3" s="20" t="s">
        <v>7</v>
      </c>
      <c r="R3" s="20" t="s">
        <v>3</v>
      </c>
      <c r="S3" s="20" t="s">
        <v>6</v>
      </c>
      <c r="T3" s="20" t="s">
        <v>7</v>
      </c>
      <c r="U3" s="20" t="s">
        <v>3</v>
      </c>
      <c r="V3" s="20" t="s">
        <v>6</v>
      </c>
      <c r="W3" s="20" t="s">
        <v>3</v>
      </c>
      <c r="X3" s="20" t="s">
        <v>6</v>
      </c>
      <c r="Y3" s="20" t="s">
        <v>7</v>
      </c>
      <c r="Z3" s="20" t="s">
        <v>3</v>
      </c>
      <c r="AA3" s="20" t="s">
        <v>6</v>
      </c>
      <c r="AB3" s="20" t="s">
        <v>7</v>
      </c>
      <c r="AC3" s="20" t="s">
        <v>3</v>
      </c>
      <c r="AD3" s="20" t="s">
        <v>6</v>
      </c>
      <c r="AE3" s="20" t="s">
        <v>7</v>
      </c>
      <c r="AF3" s="20" t="s">
        <v>3</v>
      </c>
      <c r="AG3" s="20" t="s">
        <v>6</v>
      </c>
      <c r="AH3" s="20" t="s">
        <v>3</v>
      </c>
      <c r="AI3" s="20" t="s">
        <v>6</v>
      </c>
      <c r="AJ3" s="20" t="s">
        <v>7</v>
      </c>
      <c r="AK3" s="20" t="s">
        <v>3</v>
      </c>
      <c r="AL3" s="20" t="s">
        <v>6</v>
      </c>
      <c r="AM3" s="20" t="s">
        <v>7</v>
      </c>
      <c r="AN3" s="20" t="s">
        <v>3</v>
      </c>
      <c r="AO3" s="20" t="s">
        <v>6</v>
      </c>
      <c r="AP3" s="20" t="s">
        <v>7</v>
      </c>
      <c r="AQ3" s="20" t="s">
        <v>3</v>
      </c>
      <c r="AR3" s="359" t="s">
        <v>6</v>
      </c>
      <c r="AS3" s="360" t="s">
        <v>3</v>
      </c>
    </row>
    <row r="4" spans="1:45">
      <c r="A4" s="17" t="s">
        <v>35</v>
      </c>
      <c r="B4" s="92"/>
      <c r="C4" s="93">
        <v>180083</v>
      </c>
      <c r="D4" s="93">
        <v>355338</v>
      </c>
      <c r="E4" s="92"/>
      <c r="F4" s="93">
        <v>162422</v>
      </c>
      <c r="G4" s="93">
        <v>333389</v>
      </c>
      <c r="H4" s="22"/>
      <c r="I4" s="93">
        <v>38660</v>
      </c>
      <c r="J4" s="93">
        <v>174197</v>
      </c>
      <c r="K4" s="305">
        <f>K19*1000</f>
        <v>154822</v>
      </c>
      <c r="L4" s="425">
        <v>418698</v>
      </c>
      <c r="M4" s="93">
        <v>80.27</v>
      </c>
      <c r="N4" s="206"/>
      <c r="O4" s="429"/>
      <c r="P4" s="93">
        <v>97.5</v>
      </c>
      <c r="Q4" s="206"/>
      <c r="R4" s="429"/>
      <c r="S4" s="211">
        <v>47.11</v>
      </c>
      <c r="T4" s="206"/>
      <c r="U4" s="429"/>
      <c r="V4" s="434"/>
      <c r="W4" s="434"/>
      <c r="X4" s="103">
        <v>7.54</v>
      </c>
      <c r="Z4" s="24"/>
      <c r="AA4" s="110">
        <v>9.66</v>
      </c>
      <c r="AC4" s="24"/>
      <c r="AD4" s="103">
        <v>0.22</v>
      </c>
      <c r="AF4" s="24"/>
      <c r="AG4" s="23"/>
      <c r="AH4" s="23"/>
      <c r="AI4" s="106">
        <v>48240</v>
      </c>
      <c r="AJ4" s="206"/>
      <c r="AK4" s="429"/>
      <c r="AL4" s="106">
        <v>50580</v>
      </c>
      <c r="AM4" s="206"/>
      <c r="AN4" s="429"/>
      <c r="AO4" s="106">
        <v>12240</v>
      </c>
      <c r="AP4" s="206"/>
      <c r="AQ4" s="429"/>
      <c r="AR4" s="400"/>
      <c r="AS4" s="401"/>
    </row>
    <row r="5" spans="1:45">
      <c r="A5" s="18" t="s">
        <v>36</v>
      </c>
      <c r="B5" s="94"/>
      <c r="C5" s="95">
        <v>160469</v>
      </c>
      <c r="D5" s="95">
        <v>328415</v>
      </c>
      <c r="E5" s="94"/>
      <c r="F5" s="95">
        <v>148382</v>
      </c>
      <c r="G5" s="95">
        <v>306989</v>
      </c>
      <c r="H5" s="25"/>
      <c r="I5" s="95">
        <v>34237</v>
      </c>
      <c r="J5" s="95">
        <v>157084</v>
      </c>
      <c r="K5" s="306">
        <f t="shared" ref="K5:K15" si="0">K20*1000</f>
        <v>147853</v>
      </c>
      <c r="L5" s="426">
        <v>386228</v>
      </c>
      <c r="M5" s="95">
        <v>77.62</v>
      </c>
      <c r="N5" s="206"/>
      <c r="O5" s="430"/>
      <c r="P5" s="95">
        <v>83.54</v>
      </c>
      <c r="Q5" s="206"/>
      <c r="R5" s="430"/>
      <c r="S5" s="211">
        <v>35.869999999999997</v>
      </c>
      <c r="T5" s="206"/>
      <c r="U5" s="430"/>
      <c r="V5" s="435"/>
      <c r="W5" s="435"/>
      <c r="X5" s="104">
        <v>6.76</v>
      </c>
      <c r="Z5" s="27"/>
      <c r="AA5" s="111">
        <v>6.48</v>
      </c>
      <c r="AC5" s="27"/>
      <c r="AD5" s="104">
        <v>0.19</v>
      </c>
      <c r="AF5" s="27"/>
      <c r="AG5" s="26"/>
      <c r="AH5" s="26"/>
      <c r="AI5" s="107">
        <v>39500</v>
      </c>
      <c r="AJ5" s="206"/>
      <c r="AK5" s="430"/>
      <c r="AL5" s="107">
        <v>40000</v>
      </c>
      <c r="AM5" s="206"/>
      <c r="AN5" s="430"/>
      <c r="AO5" s="107">
        <v>12190</v>
      </c>
      <c r="AP5" s="206"/>
      <c r="AQ5" s="430"/>
      <c r="AR5" s="400"/>
      <c r="AS5" s="401"/>
    </row>
    <row r="6" spans="1:45">
      <c r="A6" s="18" t="s">
        <v>37</v>
      </c>
      <c r="B6" s="94"/>
      <c r="C6" s="95">
        <v>172267</v>
      </c>
      <c r="D6" s="95">
        <v>339167</v>
      </c>
      <c r="E6" s="94"/>
      <c r="F6" s="95">
        <v>79827</v>
      </c>
      <c r="G6" s="95">
        <v>212882</v>
      </c>
      <c r="H6" s="25"/>
      <c r="I6" s="95">
        <v>36345</v>
      </c>
      <c r="J6" s="95">
        <v>160798</v>
      </c>
      <c r="K6" s="306">
        <f t="shared" si="0"/>
        <v>142758</v>
      </c>
      <c r="L6" s="426">
        <v>398048</v>
      </c>
      <c r="M6" s="95">
        <v>98.8</v>
      </c>
      <c r="N6" s="206"/>
      <c r="O6" s="430"/>
      <c r="P6" s="95">
        <v>74.52</v>
      </c>
      <c r="Q6" s="206"/>
      <c r="R6" s="430"/>
      <c r="S6" s="211">
        <v>22.06</v>
      </c>
      <c r="T6" s="206"/>
      <c r="U6" s="430"/>
      <c r="V6" s="435"/>
      <c r="W6" s="435"/>
      <c r="X6" s="104">
        <v>8.4700000000000006</v>
      </c>
      <c r="Z6" s="27"/>
      <c r="AA6" s="111">
        <v>3.21</v>
      </c>
      <c r="AC6" s="27"/>
      <c r="AD6" s="104">
        <v>0.2</v>
      </c>
      <c r="AF6" s="27"/>
      <c r="AG6" s="26"/>
      <c r="AH6" s="26"/>
      <c r="AI6" s="107">
        <v>41000</v>
      </c>
      <c r="AJ6" s="206"/>
      <c r="AK6" s="430"/>
      <c r="AL6" s="107">
        <v>31270</v>
      </c>
      <c r="AM6" s="206"/>
      <c r="AN6" s="430"/>
      <c r="AO6" s="107">
        <v>11496</v>
      </c>
      <c r="AP6" s="206"/>
      <c r="AQ6" s="430"/>
      <c r="AR6" s="400"/>
      <c r="AS6" s="401"/>
    </row>
    <row r="7" spans="1:45">
      <c r="A7" s="18" t="s">
        <v>38</v>
      </c>
      <c r="B7" s="94"/>
      <c r="C7" s="95">
        <v>131364</v>
      </c>
      <c r="D7" s="95">
        <v>279388</v>
      </c>
      <c r="E7" s="94"/>
      <c r="F7" s="95">
        <v>11253</v>
      </c>
      <c r="G7" s="95">
        <v>39847</v>
      </c>
      <c r="H7" s="25"/>
      <c r="I7" s="95">
        <v>33022</v>
      </c>
      <c r="J7" s="95">
        <v>151387</v>
      </c>
      <c r="K7" s="306">
        <f t="shared" si="0"/>
        <v>104021</v>
      </c>
      <c r="L7" s="426">
        <v>370424</v>
      </c>
      <c r="M7" s="95">
        <v>92.46</v>
      </c>
      <c r="N7" s="206"/>
      <c r="O7" s="430"/>
      <c r="P7" s="95">
        <v>53.29</v>
      </c>
      <c r="Q7" s="206"/>
      <c r="R7" s="430"/>
      <c r="S7" s="211">
        <v>20.52</v>
      </c>
      <c r="T7" s="206"/>
      <c r="U7" s="430"/>
      <c r="V7" s="435"/>
      <c r="W7" s="435"/>
      <c r="X7" s="104">
        <v>8.5299999999999994</v>
      </c>
      <c r="Z7" s="27"/>
      <c r="AA7" s="111">
        <v>95.58</v>
      </c>
      <c r="AC7" s="27"/>
      <c r="AD7" s="104">
        <v>1.1299999999999999</v>
      </c>
      <c r="AF7" s="27"/>
      <c r="AG7" s="26"/>
      <c r="AH7" s="26"/>
      <c r="AI7" s="107">
        <v>36260</v>
      </c>
      <c r="AJ7" s="206"/>
      <c r="AK7" s="430"/>
      <c r="AL7" s="107">
        <v>14290</v>
      </c>
      <c r="AM7" s="206"/>
      <c r="AN7" s="430"/>
      <c r="AO7" s="107">
        <v>9874</v>
      </c>
      <c r="AP7" s="206"/>
      <c r="AQ7" s="430"/>
      <c r="AR7" s="400"/>
      <c r="AS7" s="401"/>
    </row>
    <row r="8" spans="1:45">
      <c r="A8" s="18" t="s">
        <v>39</v>
      </c>
      <c r="B8" s="94"/>
      <c r="C8" s="95">
        <v>137563</v>
      </c>
      <c r="D8" s="95">
        <v>289441</v>
      </c>
      <c r="E8" s="94"/>
      <c r="F8" s="95">
        <v>43106</v>
      </c>
      <c r="G8" s="95">
        <v>143919</v>
      </c>
      <c r="H8" s="25"/>
      <c r="I8" s="95">
        <v>33566</v>
      </c>
      <c r="J8" s="95">
        <v>151475</v>
      </c>
      <c r="K8" s="306">
        <f t="shared" si="0"/>
        <v>161715</v>
      </c>
      <c r="L8" s="426">
        <v>342193</v>
      </c>
      <c r="M8" s="95">
        <v>110.43</v>
      </c>
      <c r="N8" s="206"/>
      <c r="O8" s="430"/>
      <c r="P8" s="95">
        <v>59.62</v>
      </c>
      <c r="Q8" s="206"/>
      <c r="R8" s="430"/>
      <c r="S8" s="211">
        <v>27.71</v>
      </c>
      <c r="T8" s="206"/>
      <c r="U8" s="430"/>
      <c r="V8" s="435"/>
      <c r="W8" s="435"/>
      <c r="X8" s="104">
        <v>20.63</v>
      </c>
      <c r="Z8" s="27"/>
      <c r="AA8" s="111">
        <v>40.64</v>
      </c>
      <c r="AC8" s="27"/>
      <c r="AD8" s="104">
        <v>2.88</v>
      </c>
      <c r="AF8" s="27"/>
      <c r="AG8" s="26"/>
      <c r="AH8" s="26"/>
      <c r="AI8" s="107">
        <v>50040</v>
      </c>
      <c r="AJ8" s="206"/>
      <c r="AK8" s="430"/>
      <c r="AL8" s="107">
        <v>31630</v>
      </c>
      <c r="AM8" s="206"/>
      <c r="AN8" s="430"/>
      <c r="AO8" s="107">
        <v>27920</v>
      </c>
      <c r="AP8" s="206"/>
      <c r="AQ8" s="430"/>
      <c r="AR8" s="400"/>
      <c r="AS8" s="401"/>
    </row>
    <row r="9" spans="1:45">
      <c r="A9" s="18" t="s">
        <v>40</v>
      </c>
      <c r="B9" s="94"/>
      <c r="C9" s="95">
        <v>138746</v>
      </c>
      <c r="D9" s="95">
        <v>288820</v>
      </c>
      <c r="E9" s="94"/>
      <c r="F9" s="95">
        <v>121001</v>
      </c>
      <c r="G9" s="95">
        <v>268050</v>
      </c>
      <c r="H9" s="25"/>
      <c r="I9" s="95">
        <v>134008</v>
      </c>
      <c r="J9" s="95">
        <v>345590</v>
      </c>
      <c r="K9" s="306">
        <f t="shared" si="0"/>
        <v>159141</v>
      </c>
      <c r="L9" s="426">
        <v>361480</v>
      </c>
      <c r="M9" s="95">
        <v>180.28</v>
      </c>
      <c r="N9" s="206"/>
      <c r="O9" s="430"/>
      <c r="P9" s="95">
        <v>108.36</v>
      </c>
      <c r="Q9" s="206"/>
      <c r="R9" s="430"/>
      <c r="S9" s="211">
        <v>80.09</v>
      </c>
      <c r="T9" s="206"/>
      <c r="U9" s="430"/>
      <c r="V9" s="435"/>
      <c r="W9" s="435"/>
      <c r="X9" s="104">
        <v>17.32</v>
      </c>
      <c r="Z9" s="27"/>
      <c r="AA9" s="111">
        <v>10.72</v>
      </c>
      <c r="AC9" s="27"/>
      <c r="AD9" s="104">
        <v>16.14</v>
      </c>
      <c r="AF9" s="27"/>
      <c r="AG9" s="26"/>
      <c r="AH9" s="26"/>
      <c r="AI9" s="107">
        <v>24280</v>
      </c>
      <c r="AJ9" s="206"/>
      <c r="AK9" s="430"/>
      <c r="AL9" s="107">
        <v>39680</v>
      </c>
      <c r="AM9" s="206"/>
      <c r="AN9" s="430"/>
      <c r="AO9" s="107">
        <v>30670</v>
      </c>
      <c r="AP9" s="206"/>
      <c r="AQ9" s="430"/>
      <c r="AR9" s="400"/>
      <c r="AS9" s="401"/>
    </row>
    <row r="10" spans="1:45">
      <c r="A10" s="18" t="s">
        <v>41</v>
      </c>
      <c r="B10" s="94"/>
      <c r="C10" s="95">
        <v>153626</v>
      </c>
      <c r="D10" s="95">
        <v>313307</v>
      </c>
      <c r="E10" s="94"/>
      <c r="F10" s="95">
        <v>161842</v>
      </c>
      <c r="G10" s="95">
        <v>326322</v>
      </c>
      <c r="H10" s="25"/>
      <c r="I10" s="95">
        <v>160344</v>
      </c>
      <c r="J10" s="95">
        <v>393669</v>
      </c>
      <c r="K10" s="306">
        <f t="shared" si="0"/>
        <v>142679</v>
      </c>
      <c r="L10" s="426">
        <v>391184</v>
      </c>
      <c r="M10" s="95">
        <v>175.42</v>
      </c>
      <c r="N10" s="206"/>
      <c r="O10" s="430"/>
      <c r="P10" s="95">
        <v>132.28</v>
      </c>
      <c r="Q10" s="206"/>
      <c r="R10" s="430"/>
      <c r="S10" s="211">
        <v>88.5</v>
      </c>
      <c r="T10" s="206"/>
      <c r="U10" s="430"/>
      <c r="V10" s="435"/>
      <c r="W10" s="435"/>
      <c r="X10" s="104">
        <v>13.77</v>
      </c>
      <c r="Z10" s="27"/>
      <c r="AA10" s="111">
        <v>19.670000000000002</v>
      </c>
      <c r="AC10" s="27"/>
      <c r="AD10" s="104">
        <v>15.29</v>
      </c>
      <c r="AF10" s="27"/>
      <c r="AG10" s="26"/>
      <c r="AH10" s="26"/>
      <c r="AI10" s="107">
        <v>30960</v>
      </c>
      <c r="AJ10" s="206"/>
      <c r="AK10" s="430"/>
      <c r="AL10" s="107">
        <v>35060</v>
      </c>
      <c r="AM10" s="206"/>
      <c r="AN10" s="430"/>
      <c r="AO10" s="107">
        <v>23770</v>
      </c>
      <c r="AP10" s="206"/>
      <c r="AQ10" s="430"/>
      <c r="AR10" s="400"/>
      <c r="AS10" s="401"/>
    </row>
    <row r="11" spans="1:45">
      <c r="A11" s="18" t="s">
        <v>42</v>
      </c>
      <c r="B11" s="94"/>
      <c r="C11" s="95">
        <v>166671</v>
      </c>
      <c r="D11" s="95">
        <v>331105</v>
      </c>
      <c r="E11" s="94"/>
      <c r="F11" s="95">
        <v>161745</v>
      </c>
      <c r="G11" s="95">
        <v>325214</v>
      </c>
      <c r="H11" s="25"/>
      <c r="I11" s="95">
        <v>159144</v>
      </c>
      <c r="J11" s="95">
        <v>393573</v>
      </c>
      <c r="K11" s="306">
        <f t="shared" si="0"/>
        <v>133872</v>
      </c>
      <c r="L11" s="426">
        <v>401215</v>
      </c>
      <c r="M11" s="95">
        <v>173</v>
      </c>
      <c r="N11" s="206"/>
      <c r="O11" s="430"/>
      <c r="P11" s="95">
        <v>128.25</v>
      </c>
      <c r="Q11" s="206"/>
      <c r="R11" s="430"/>
      <c r="S11" s="211">
        <v>91.04</v>
      </c>
      <c r="T11" s="206"/>
      <c r="U11" s="430"/>
      <c r="V11" s="435"/>
      <c r="W11" s="435"/>
      <c r="X11" s="104">
        <v>14.62</v>
      </c>
      <c r="Z11" s="27"/>
      <c r="AA11" s="111">
        <v>24.09</v>
      </c>
      <c r="AC11" s="27"/>
      <c r="AD11" s="104">
        <v>15.72</v>
      </c>
      <c r="AF11" s="27"/>
      <c r="AG11" s="26"/>
      <c r="AH11" s="26"/>
      <c r="AI11" s="107">
        <v>25730</v>
      </c>
      <c r="AJ11" s="206"/>
      <c r="AK11" s="430"/>
      <c r="AL11" s="107">
        <v>34470</v>
      </c>
      <c r="AM11" s="206"/>
      <c r="AN11" s="430"/>
      <c r="AO11" s="107">
        <v>37580</v>
      </c>
      <c r="AP11" s="206"/>
      <c r="AQ11" s="430"/>
      <c r="AR11" s="400"/>
      <c r="AS11" s="401"/>
    </row>
    <row r="12" spans="1:45">
      <c r="A12" s="18" t="s">
        <v>43</v>
      </c>
      <c r="B12" s="94"/>
      <c r="C12" s="95">
        <v>118469</v>
      </c>
      <c r="D12" s="95">
        <v>263094</v>
      </c>
      <c r="E12" s="94"/>
      <c r="F12" s="95">
        <v>128628</v>
      </c>
      <c r="G12" s="95">
        <v>278067</v>
      </c>
      <c r="H12" s="25"/>
      <c r="I12" s="95">
        <v>116695</v>
      </c>
      <c r="J12" s="95">
        <v>315100</v>
      </c>
      <c r="K12" s="306">
        <f t="shared" si="0"/>
        <v>149289</v>
      </c>
      <c r="L12" s="426">
        <v>288202</v>
      </c>
      <c r="M12" s="95">
        <v>95</v>
      </c>
      <c r="N12" s="206"/>
      <c r="O12" s="430"/>
      <c r="P12" s="95">
        <v>96.64</v>
      </c>
      <c r="Q12" s="206"/>
      <c r="R12" s="430"/>
      <c r="S12" s="211">
        <v>74.13</v>
      </c>
      <c r="T12" s="206"/>
      <c r="U12" s="430"/>
      <c r="V12" s="435"/>
      <c r="W12" s="435"/>
      <c r="X12" s="104">
        <v>8.7899999999999991</v>
      </c>
      <c r="Z12" s="27"/>
      <c r="AA12" s="111">
        <v>14.7</v>
      </c>
      <c r="AC12" s="27"/>
      <c r="AD12" s="104">
        <v>13.43</v>
      </c>
      <c r="AF12" s="27"/>
      <c r="AG12" s="26"/>
      <c r="AH12" s="26"/>
      <c r="AI12" s="107">
        <v>47580</v>
      </c>
      <c r="AJ12" s="206"/>
      <c r="AK12" s="430"/>
      <c r="AL12" s="107">
        <v>45590</v>
      </c>
      <c r="AM12" s="206"/>
      <c r="AN12" s="430"/>
      <c r="AO12" s="107">
        <v>42000</v>
      </c>
      <c r="AP12" s="206"/>
      <c r="AQ12" s="430"/>
      <c r="AR12" s="400"/>
      <c r="AS12" s="401"/>
    </row>
    <row r="13" spans="1:45">
      <c r="A13" s="18" t="s">
        <v>44</v>
      </c>
      <c r="B13" s="94"/>
      <c r="C13" s="95">
        <v>135828</v>
      </c>
      <c r="D13" s="95">
        <v>288570</v>
      </c>
      <c r="E13" s="94"/>
      <c r="F13" s="95">
        <v>92807</v>
      </c>
      <c r="G13" s="95">
        <v>229984</v>
      </c>
      <c r="H13" s="25"/>
      <c r="I13" s="95">
        <v>136846</v>
      </c>
      <c r="J13" s="95">
        <v>350465</v>
      </c>
      <c r="K13" s="306">
        <f t="shared" si="0"/>
        <v>162321</v>
      </c>
      <c r="L13" s="426">
        <v>335448</v>
      </c>
      <c r="M13" s="95">
        <v>111.86</v>
      </c>
      <c r="N13" s="206"/>
      <c r="O13" s="430"/>
      <c r="P13" s="95">
        <v>74.47</v>
      </c>
      <c r="Q13" s="206"/>
      <c r="R13" s="430"/>
      <c r="S13" s="211">
        <v>87.28</v>
      </c>
      <c r="T13" s="206"/>
      <c r="U13" s="430"/>
      <c r="V13" s="435"/>
      <c r="W13" s="435"/>
      <c r="X13" s="104">
        <v>7.12</v>
      </c>
      <c r="Z13" s="27"/>
      <c r="AA13" s="111">
        <v>4.3499999999999996</v>
      </c>
      <c r="AC13" s="27"/>
      <c r="AD13" s="104">
        <v>7.18</v>
      </c>
      <c r="AF13" s="27"/>
      <c r="AG13" s="26"/>
      <c r="AH13" s="26"/>
      <c r="AI13" s="107">
        <v>37730</v>
      </c>
      <c r="AJ13" s="206"/>
      <c r="AK13" s="430"/>
      <c r="AL13" s="107">
        <v>27340</v>
      </c>
      <c r="AM13" s="206"/>
      <c r="AN13" s="430"/>
      <c r="AO13" s="107">
        <v>31680</v>
      </c>
      <c r="AP13" s="206"/>
      <c r="AQ13" s="430"/>
      <c r="AR13" s="400"/>
      <c r="AS13" s="401"/>
    </row>
    <row r="14" spans="1:45">
      <c r="A14" s="18" t="s">
        <v>45</v>
      </c>
      <c r="B14" s="94"/>
      <c r="C14" s="95">
        <v>145275</v>
      </c>
      <c r="D14" s="95">
        <v>303115</v>
      </c>
      <c r="E14" s="94"/>
      <c r="F14" s="95">
        <v>43660</v>
      </c>
      <c r="G14" s="95">
        <v>164070</v>
      </c>
      <c r="H14" s="25"/>
      <c r="I14" s="95">
        <v>143321</v>
      </c>
      <c r="J14" s="95">
        <v>302563</v>
      </c>
      <c r="K14" s="306">
        <f t="shared" si="0"/>
        <v>155596</v>
      </c>
      <c r="L14" s="426">
        <v>349044</v>
      </c>
      <c r="M14" s="95">
        <v>88.36</v>
      </c>
      <c r="N14" s="206"/>
      <c r="O14" s="430"/>
      <c r="P14" s="95">
        <v>32.630000000000003</v>
      </c>
      <c r="Q14" s="206"/>
      <c r="R14" s="430"/>
      <c r="S14" s="211">
        <v>105.25</v>
      </c>
      <c r="T14" s="206"/>
      <c r="U14" s="430"/>
      <c r="V14" s="435"/>
      <c r="W14" s="435"/>
      <c r="X14" s="104">
        <v>6.17</v>
      </c>
      <c r="Z14" s="27"/>
      <c r="AA14" s="111">
        <v>0.36</v>
      </c>
      <c r="AC14" s="27"/>
      <c r="AD14" s="104">
        <v>6.64</v>
      </c>
      <c r="AF14" s="27"/>
      <c r="AG14" s="26"/>
      <c r="AH14" s="26"/>
      <c r="AI14" s="107">
        <v>41440</v>
      </c>
      <c r="AJ14" s="206"/>
      <c r="AK14" s="430"/>
      <c r="AL14" s="107">
        <v>17240</v>
      </c>
      <c r="AM14" s="206"/>
      <c r="AN14" s="430"/>
      <c r="AO14" s="107">
        <v>37410</v>
      </c>
      <c r="AP14" s="206"/>
      <c r="AQ14" s="430"/>
      <c r="AR14" s="400"/>
      <c r="AS14" s="401"/>
    </row>
    <row r="15" spans="1:45">
      <c r="A15" s="19" t="s">
        <v>46</v>
      </c>
      <c r="B15" s="96"/>
      <c r="C15" s="97">
        <v>153805</v>
      </c>
      <c r="D15" s="97">
        <v>314459</v>
      </c>
      <c r="E15" s="96"/>
      <c r="F15" s="97">
        <v>83803</v>
      </c>
      <c r="G15" s="97">
        <v>223391</v>
      </c>
      <c r="H15" s="28"/>
      <c r="I15" s="97">
        <v>156208</v>
      </c>
      <c r="J15" s="97">
        <v>324398</v>
      </c>
      <c r="K15" s="307">
        <f t="shared" si="0"/>
        <v>169875</v>
      </c>
      <c r="L15" s="427">
        <v>364532.55</v>
      </c>
      <c r="M15" s="97">
        <v>87.12</v>
      </c>
      <c r="N15" s="206"/>
      <c r="O15" s="431"/>
      <c r="P15" s="97">
        <v>67.37</v>
      </c>
      <c r="Q15" s="206"/>
      <c r="R15" s="431"/>
      <c r="S15" s="211">
        <v>80.03</v>
      </c>
      <c r="T15" s="206"/>
      <c r="U15" s="431"/>
      <c r="V15" s="436"/>
      <c r="W15" s="436"/>
      <c r="X15" s="105">
        <v>7.52</v>
      </c>
      <c r="Z15" s="30"/>
      <c r="AA15" s="112">
        <v>0.35</v>
      </c>
      <c r="AC15" s="30"/>
      <c r="AD15" s="105">
        <v>5.85</v>
      </c>
      <c r="AF15" s="30"/>
      <c r="AG15" s="29"/>
      <c r="AH15" s="29"/>
      <c r="AI15" s="108">
        <v>46490</v>
      </c>
      <c r="AJ15" s="206"/>
      <c r="AK15" s="431"/>
      <c r="AL15" s="108">
        <v>18630</v>
      </c>
      <c r="AM15" s="206"/>
      <c r="AN15" s="431"/>
      <c r="AO15" s="108">
        <v>43710</v>
      </c>
      <c r="AP15" s="206"/>
      <c r="AQ15" s="431"/>
      <c r="AR15" s="402"/>
      <c r="AS15" s="403"/>
    </row>
    <row r="16" spans="1:45">
      <c r="A16" s="21" t="s">
        <v>4</v>
      </c>
      <c r="B16" s="98"/>
      <c r="C16" s="99">
        <v>1794166</v>
      </c>
      <c r="D16" s="99">
        <v>3694218</v>
      </c>
      <c r="E16" s="100"/>
      <c r="F16" s="101">
        <v>1238476</v>
      </c>
      <c r="G16" s="101">
        <v>2852123</v>
      </c>
      <c r="H16" s="100"/>
      <c r="I16" s="101">
        <v>1182396</v>
      </c>
      <c r="J16" s="101">
        <v>3220299</v>
      </c>
      <c r="K16" s="308">
        <f>SUM(K4:K15)</f>
        <v>1783942</v>
      </c>
      <c r="L16" s="428">
        <f>SUM(L4:L15)</f>
        <v>4406696.55</v>
      </c>
      <c r="M16" s="308">
        <f>SUM(M4:M15)</f>
        <v>1370.62</v>
      </c>
      <c r="N16" s="432"/>
      <c r="O16" s="433"/>
      <c r="P16" s="308">
        <f>SUM(P4:P15)</f>
        <v>1008.47</v>
      </c>
      <c r="Q16" s="432"/>
      <c r="R16" s="433"/>
      <c r="S16" s="633">
        <f>SUM(S4:S15)</f>
        <v>759.59</v>
      </c>
      <c r="T16" s="432"/>
      <c r="U16" s="433"/>
      <c r="V16" s="432"/>
      <c r="W16" s="432"/>
      <c r="X16" s="633">
        <f>SUM(X4:X15)</f>
        <v>127.24000000000001</v>
      </c>
      <c r="Y16" s="101"/>
      <c r="Z16" s="102"/>
      <c r="AA16" s="633">
        <f>SUM(AA4:AA15)</f>
        <v>229.80999999999997</v>
      </c>
      <c r="AB16" s="113"/>
      <c r="AC16" s="102"/>
      <c r="AD16" s="633">
        <f>SUM(AD4:AD15)</f>
        <v>84.86999999999999</v>
      </c>
      <c r="AE16" s="101"/>
      <c r="AF16" s="102"/>
      <c r="AG16" s="101"/>
      <c r="AH16" s="101"/>
      <c r="AI16" s="308">
        <f>SUM(AI4:AI15)</f>
        <v>469250</v>
      </c>
      <c r="AJ16" s="109"/>
      <c r="AK16" s="102"/>
      <c r="AL16" s="308">
        <f>SUM(AL4:AL15)</f>
        <v>385780</v>
      </c>
      <c r="AM16" s="109"/>
      <c r="AN16" s="102"/>
      <c r="AO16" s="308">
        <f>SUM(AO4:AO15)</f>
        <v>320540</v>
      </c>
      <c r="AP16" s="109"/>
      <c r="AQ16" s="102"/>
      <c r="AR16" s="373">
        <f>SUM(AR4:AR15)</f>
        <v>0</v>
      </c>
      <c r="AS16" s="374">
        <f>SUM(AS4:AS15)</f>
        <v>0</v>
      </c>
    </row>
    <row r="19" spans="11:11">
      <c r="K19" s="310">
        <v>154.822</v>
      </c>
    </row>
    <row r="20" spans="11:11">
      <c r="K20" s="310">
        <v>147.85300000000001</v>
      </c>
    </row>
    <row r="21" spans="11:11">
      <c r="K21" s="310">
        <v>142.75800000000001</v>
      </c>
    </row>
    <row r="22" spans="11:11">
      <c r="K22" s="310">
        <v>104.021</v>
      </c>
    </row>
    <row r="23" spans="11:11">
      <c r="K23" s="310">
        <v>161.715</v>
      </c>
    </row>
    <row r="24" spans="11:11">
      <c r="K24" s="310">
        <v>159.14099999999999</v>
      </c>
    </row>
    <row r="25" spans="11:11">
      <c r="K25" s="310">
        <v>142.679</v>
      </c>
    </row>
    <row r="26" spans="11:11">
      <c r="K26" s="310">
        <v>133.87200000000001</v>
      </c>
    </row>
    <row r="27" spans="11:11">
      <c r="K27" s="310">
        <v>149.28899999999999</v>
      </c>
    </row>
    <row r="28" spans="11:11">
      <c r="K28" s="310">
        <v>162.321</v>
      </c>
    </row>
    <row r="29" spans="11:11">
      <c r="K29" s="310">
        <v>155.596</v>
      </c>
    </row>
    <row r="30" spans="11:11">
      <c r="K30" s="310">
        <v>169.875</v>
      </c>
    </row>
  </sheetData>
  <mergeCells count="21">
    <mergeCell ref="A1:A3"/>
    <mergeCell ref="B2:D2"/>
    <mergeCell ref="E2:G2"/>
    <mergeCell ref="H2:J2"/>
    <mergeCell ref="AD2:AF2"/>
    <mergeCell ref="M2:O2"/>
    <mergeCell ref="AI1:AS1"/>
    <mergeCell ref="AR2:AS2"/>
    <mergeCell ref="B1:L1"/>
    <mergeCell ref="K2:L2"/>
    <mergeCell ref="M1:W1"/>
    <mergeCell ref="V2:W2"/>
    <mergeCell ref="P2:R2"/>
    <mergeCell ref="S2:U2"/>
    <mergeCell ref="X2:Z2"/>
    <mergeCell ref="AA2:AC2"/>
    <mergeCell ref="X1:AH1"/>
    <mergeCell ref="AG2:AH2"/>
    <mergeCell ref="AI2:AK2"/>
    <mergeCell ref="AL2:AN2"/>
    <mergeCell ref="AO2:AQ2"/>
  </mergeCells>
  <pageMargins left="0.7" right="0.7" top="0.78740157499999996" bottom="0.78740157499999996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14"/>
  <sheetViews>
    <sheetView workbookViewId="0">
      <selection activeCell="D21" sqref="D21"/>
    </sheetView>
  </sheetViews>
  <sheetFormatPr defaultRowHeight="15"/>
  <cols>
    <col min="1" max="1" width="20.5703125" style="276" customWidth="1"/>
    <col min="2" max="23" width="7.140625" style="276" customWidth="1"/>
    <col min="24" max="16384" width="9.140625" style="276"/>
  </cols>
  <sheetData>
    <row r="3" spans="1:23" ht="15.75">
      <c r="A3" s="1741" t="s">
        <v>135</v>
      </c>
      <c r="B3" s="1741"/>
      <c r="C3" s="1741"/>
      <c r="D3" s="1741"/>
      <c r="E3" s="1741"/>
      <c r="F3" s="1741"/>
      <c r="G3" s="1741"/>
      <c r="H3" s="1741"/>
      <c r="I3" s="1741"/>
      <c r="J3" s="1741"/>
      <c r="K3" s="1741"/>
      <c r="L3" s="1741"/>
      <c r="M3" s="1741"/>
      <c r="N3" s="1741"/>
      <c r="O3" s="1741"/>
      <c r="P3" s="1741"/>
      <c r="Q3" s="1741"/>
      <c r="R3" s="1741"/>
      <c r="S3" s="1741"/>
      <c r="T3" s="1741"/>
      <c r="U3" s="1741"/>
      <c r="V3" s="1741"/>
    </row>
    <row r="4" spans="1:23" ht="15.75" thickBot="1"/>
    <row r="5" spans="1:23" ht="15.75" thickBot="1">
      <c r="A5" s="277" t="s">
        <v>8</v>
      </c>
      <c r="B5" s="278">
        <v>42736</v>
      </c>
      <c r="C5" s="279">
        <v>42767</v>
      </c>
      <c r="D5" s="279">
        <v>42795</v>
      </c>
      <c r="E5" s="279">
        <v>42826</v>
      </c>
      <c r="F5" s="279">
        <v>42856</v>
      </c>
      <c r="G5" s="279">
        <v>42887</v>
      </c>
      <c r="H5" s="279">
        <v>42917</v>
      </c>
      <c r="I5" s="279">
        <v>42948</v>
      </c>
      <c r="J5" s="279">
        <v>42979</v>
      </c>
      <c r="K5" s="279">
        <v>43009</v>
      </c>
      <c r="L5" s="279">
        <v>43040</v>
      </c>
      <c r="M5" s="280">
        <v>43070</v>
      </c>
      <c r="N5" s="281">
        <v>43101</v>
      </c>
      <c r="O5" s="279">
        <v>43132</v>
      </c>
      <c r="P5" s="279">
        <v>43160</v>
      </c>
      <c r="Q5" s="279">
        <v>43191</v>
      </c>
      <c r="R5" s="279">
        <v>43221</v>
      </c>
      <c r="S5" s="279">
        <v>43252</v>
      </c>
      <c r="T5" s="279">
        <v>43282</v>
      </c>
      <c r="U5" s="279">
        <v>43313</v>
      </c>
      <c r="V5" s="282">
        <v>43344</v>
      </c>
      <c r="W5" s="282">
        <v>43374</v>
      </c>
    </row>
    <row r="6" spans="1:23">
      <c r="A6" s="283" t="s">
        <v>136</v>
      </c>
      <c r="B6" s="284">
        <v>701.01300000000003</v>
      </c>
      <c r="C6" s="285">
        <v>455.99599999999998</v>
      </c>
      <c r="D6" s="285">
        <v>358.17399999999998</v>
      </c>
      <c r="E6" s="285">
        <v>256.48699999999997</v>
      </c>
      <c r="F6" s="285">
        <v>129.649</v>
      </c>
      <c r="G6" s="285">
        <v>22.202000000000002</v>
      </c>
      <c r="H6" s="285">
        <v>15.64</v>
      </c>
      <c r="I6" s="285">
        <v>15.7</v>
      </c>
      <c r="J6" s="285">
        <v>105.10000000000001</v>
      </c>
      <c r="K6" s="285">
        <v>272.70999999999998</v>
      </c>
      <c r="L6" s="285">
        <v>402.16800000000001</v>
      </c>
      <c r="M6" s="286">
        <v>412.52699999999999</v>
      </c>
      <c r="N6" s="284">
        <v>524.10199999999998</v>
      </c>
      <c r="O6" s="285">
        <v>563.36500000000001</v>
      </c>
      <c r="P6" s="285">
        <v>501.81199999999995</v>
      </c>
      <c r="Q6" s="285">
        <v>189.53300000000002</v>
      </c>
      <c r="R6" s="285">
        <v>61.399000000000001</v>
      </c>
      <c r="S6" s="285">
        <v>21.253</v>
      </c>
      <c r="T6" s="285">
        <v>15.858000000000001</v>
      </c>
      <c r="U6" s="285">
        <v>16.228999999999999</v>
      </c>
      <c r="V6" s="285">
        <v>63.121000000000002</v>
      </c>
      <c r="W6" s="287">
        <v>212.36099999999999</v>
      </c>
    </row>
    <row r="7" spans="1:23">
      <c r="A7" s="288" t="s">
        <v>137</v>
      </c>
      <c r="B7" s="289">
        <v>410.3</v>
      </c>
      <c r="C7" s="290">
        <v>268.8</v>
      </c>
      <c r="D7" s="290">
        <v>184.8</v>
      </c>
      <c r="E7" s="290">
        <v>126.1</v>
      </c>
      <c r="F7" s="290">
        <v>28.700000000000003</v>
      </c>
      <c r="G7" s="290">
        <v>9.5</v>
      </c>
      <c r="H7" s="290">
        <v>6.8</v>
      </c>
      <c r="I7" s="290">
        <v>6.6</v>
      </c>
      <c r="J7" s="290">
        <v>39.299999999999997</v>
      </c>
      <c r="K7" s="290">
        <v>107.23100000000001</v>
      </c>
      <c r="L7" s="290">
        <v>203.1</v>
      </c>
      <c r="M7" s="291">
        <v>228.9</v>
      </c>
      <c r="N7" s="289">
        <v>268.2</v>
      </c>
      <c r="O7" s="290">
        <v>271.2</v>
      </c>
      <c r="P7" s="290">
        <v>243</v>
      </c>
      <c r="Q7" s="290">
        <v>51.2</v>
      </c>
      <c r="R7" s="290">
        <v>10</v>
      </c>
      <c r="S7" s="290">
        <v>8.6</v>
      </c>
      <c r="T7" s="290">
        <v>6.9</v>
      </c>
      <c r="U7" s="290">
        <v>6.1</v>
      </c>
      <c r="V7" s="290">
        <v>22</v>
      </c>
      <c r="W7" s="292">
        <v>117.7</v>
      </c>
    </row>
    <row r="8" spans="1:23">
      <c r="A8" s="288" t="s">
        <v>138</v>
      </c>
      <c r="B8" s="289">
        <v>105.89999999999999</v>
      </c>
      <c r="C8" s="290">
        <v>75</v>
      </c>
      <c r="D8" s="290">
        <v>64.099999999999994</v>
      </c>
      <c r="E8" s="290">
        <v>33.299999999999997</v>
      </c>
      <c r="F8" s="290">
        <v>18.5</v>
      </c>
      <c r="G8" s="290">
        <v>5</v>
      </c>
      <c r="H8" s="290">
        <v>3.4</v>
      </c>
      <c r="I8" s="290">
        <v>3.8</v>
      </c>
      <c r="J8" s="290">
        <v>20</v>
      </c>
      <c r="K8" s="290">
        <v>30.146999999999998</v>
      </c>
      <c r="L8" s="290">
        <v>74</v>
      </c>
      <c r="M8" s="291">
        <v>75.3</v>
      </c>
      <c r="N8" s="289">
        <v>84.4</v>
      </c>
      <c r="O8" s="290">
        <v>85.5</v>
      </c>
      <c r="P8" s="290">
        <v>79.300000000000011</v>
      </c>
      <c r="Q8" s="290">
        <v>44.7</v>
      </c>
      <c r="R8" s="290">
        <v>13.700000000000001</v>
      </c>
      <c r="S8" s="290">
        <v>4.8</v>
      </c>
      <c r="T8" s="290">
        <v>3.4</v>
      </c>
      <c r="U8" s="290">
        <v>3.4</v>
      </c>
      <c r="V8" s="290">
        <v>15.1</v>
      </c>
      <c r="W8" s="292">
        <v>43.1</v>
      </c>
    </row>
    <row r="9" spans="1:23">
      <c r="A9" s="288" t="s">
        <v>139</v>
      </c>
      <c r="B9" s="289">
        <v>635.90300000000002</v>
      </c>
      <c r="C9" s="290">
        <v>421.36700000000002</v>
      </c>
      <c r="D9" s="290">
        <v>344.16</v>
      </c>
      <c r="E9" s="290">
        <v>245.815</v>
      </c>
      <c r="F9" s="290">
        <v>139.30799999999999</v>
      </c>
      <c r="G9" s="290">
        <v>56.802</v>
      </c>
      <c r="H9" s="290">
        <v>30.67</v>
      </c>
      <c r="I9" s="290">
        <v>45.015000000000001</v>
      </c>
      <c r="J9" s="290">
        <v>172.11</v>
      </c>
      <c r="K9" s="290">
        <v>251.71899999999999</v>
      </c>
      <c r="L9" s="290">
        <v>412.53899999999999</v>
      </c>
      <c r="M9" s="291">
        <v>433.09300000000002</v>
      </c>
      <c r="N9" s="289">
        <v>541.48800000000006</v>
      </c>
      <c r="O9" s="290">
        <v>505.762</v>
      </c>
      <c r="P9" s="290">
        <v>469.82299999999998</v>
      </c>
      <c r="Q9" s="290">
        <v>214.32300000000001</v>
      </c>
      <c r="R9" s="290">
        <v>78.06</v>
      </c>
      <c r="S9" s="290">
        <v>58.37</v>
      </c>
      <c r="T9" s="290">
        <v>41.673000000000002</v>
      </c>
      <c r="U9" s="290">
        <v>55.438000000000002</v>
      </c>
      <c r="V9" s="290">
        <v>125.08499999999999</v>
      </c>
      <c r="W9" s="292">
        <v>271.85599999999999</v>
      </c>
    </row>
    <row r="10" spans="1:23">
      <c r="A10" s="288" t="s">
        <v>140</v>
      </c>
      <c r="B10" s="289">
        <v>205.6</v>
      </c>
      <c r="C10" s="290">
        <v>143.80000000000001</v>
      </c>
      <c r="D10" s="290">
        <v>113.2</v>
      </c>
      <c r="E10" s="290">
        <v>78.099999999999994</v>
      </c>
      <c r="F10" s="290">
        <v>45.400000000000006</v>
      </c>
      <c r="G10" s="290">
        <v>12.1</v>
      </c>
      <c r="H10" s="290">
        <v>8.9</v>
      </c>
      <c r="I10" s="290">
        <v>8.1999999999999993</v>
      </c>
      <c r="J10" s="290">
        <v>46.9</v>
      </c>
      <c r="K10" s="290">
        <v>78.899999999999991</v>
      </c>
      <c r="L10" s="290">
        <v>132.1</v>
      </c>
      <c r="M10" s="291">
        <v>155.29999999999998</v>
      </c>
      <c r="N10" s="289">
        <v>150.6</v>
      </c>
      <c r="O10" s="290">
        <v>164.20000000000002</v>
      </c>
      <c r="P10" s="290">
        <v>147.1</v>
      </c>
      <c r="Q10" s="290">
        <v>61.7</v>
      </c>
      <c r="R10" s="290">
        <v>20.126000000000001</v>
      </c>
      <c r="S10" s="290">
        <v>9.1929999999999996</v>
      </c>
      <c r="T10" s="290">
        <v>1</v>
      </c>
      <c r="U10" s="290">
        <v>5.5</v>
      </c>
      <c r="V10" s="290">
        <v>25.3</v>
      </c>
      <c r="W10" s="292">
        <v>71.3</v>
      </c>
    </row>
    <row r="11" spans="1:23">
      <c r="A11" s="288" t="s">
        <v>141</v>
      </c>
      <c r="B11" s="289">
        <v>689.80000000000007</v>
      </c>
      <c r="C11" s="290">
        <v>473.6</v>
      </c>
      <c r="D11" s="290">
        <v>375.2</v>
      </c>
      <c r="E11" s="290">
        <v>242.89999999999998</v>
      </c>
      <c r="F11" s="290">
        <v>108.4</v>
      </c>
      <c r="G11" s="290">
        <v>19.7</v>
      </c>
      <c r="H11" s="290">
        <v>7.8</v>
      </c>
      <c r="I11" s="290">
        <v>10.3</v>
      </c>
      <c r="J11" s="290">
        <v>150.80000000000001</v>
      </c>
      <c r="K11" s="290">
        <v>253</v>
      </c>
      <c r="L11" s="290">
        <v>431.3</v>
      </c>
      <c r="M11" s="291">
        <v>527.80000000000007</v>
      </c>
      <c r="N11" s="289">
        <v>522.20000000000005</v>
      </c>
      <c r="O11" s="290">
        <v>561</v>
      </c>
      <c r="P11" s="290">
        <v>499.40000000000003</v>
      </c>
      <c r="Q11" s="290">
        <v>178.79999999999998</v>
      </c>
      <c r="R11" s="290">
        <v>40.881</v>
      </c>
      <c r="S11" s="290">
        <v>19.042999999999999</v>
      </c>
      <c r="T11" s="290">
        <v>9.99</v>
      </c>
      <c r="U11" s="290">
        <v>11.4</v>
      </c>
      <c r="V11" s="290">
        <v>79.099999999999994</v>
      </c>
      <c r="W11" s="292">
        <v>245.29999999999998</v>
      </c>
    </row>
    <row r="12" spans="1:23">
      <c r="A12" s="288" t="s">
        <v>142</v>
      </c>
      <c r="B12" s="289">
        <v>573</v>
      </c>
      <c r="C12" s="290">
        <v>370</v>
      </c>
      <c r="D12" s="290">
        <v>286.5</v>
      </c>
      <c r="E12" s="290">
        <v>195.5</v>
      </c>
      <c r="F12" s="290">
        <v>99.1</v>
      </c>
      <c r="G12" s="290">
        <v>2.8</v>
      </c>
      <c r="H12" s="290">
        <v>2.7</v>
      </c>
      <c r="I12" s="290">
        <v>2.7</v>
      </c>
      <c r="J12" s="290">
        <v>97.028999999999996</v>
      </c>
      <c r="K12" s="290">
        <v>162.80000000000001</v>
      </c>
      <c r="L12" s="290">
        <v>336.5</v>
      </c>
      <c r="M12" s="291">
        <v>421.6</v>
      </c>
      <c r="N12" s="289">
        <v>407</v>
      </c>
      <c r="O12" s="290">
        <v>443.3</v>
      </c>
      <c r="P12" s="290">
        <v>404.2</v>
      </c>
      <c r="Q12" s="290">
        <v>107.39999999999999</v>
      </c>
      <c r="R12" s="290">
        <v>23.599999999999998</v>
      </c>
      <c r="S12" s="290">
        <v>2.6</v>
      </c>
      <c r="T12" s="290">
        <v>2.5</v>
      </c>
      <c r="U12" s="290">
        <v>2.2999999999999998</v>
      </c>
      <c r="V12" s="290">
        <v>33.199999999999996</v>
      </c>
      <c r="W12" s="292">
        <v>165.9</v>
      </c>
    </row>
    <row r="13" spans="1:23">
      <c r="A13" s="288" t="s">
        <v>143</v>
      </c>
      <c r="B13" s="289">
        <v>349.6</v>
      </c>
      <c r="C13" s="290">
        <v>238.5</v>
      </c>
      <c r="D13" s="290">
        <v>169.5</v>
      </c>
      <c r="E13" s="290">
        <v>102.8</v>
      </c>
      <c r="F13" s="290">
        <v>43.7</v>
      </c>
      <c r="G13" s="290">
        <v>4</v>
      </c>
      <c r="H13" s="290">
        <v>2.2000000000000002</v>
      </c>
      <c r="I13" s="290">
        <v>2.4</v>
      </c>
      <c r="J13" s="290">
        <v>36.700000000000003</v>
      </c>
      <c r="K13" s="290">
        <v>92</v>
      </c>
      <c r="L13" s="290">
        <v>204.4</v>
      </c>
      <c r="M13" s="291">
        <v>256.5</v>
      </c>
      <c r="N13" s="289">
        <v>252.7</v>
      </c>
      <c r="O13" s="290">
        <v>280.8</v>
      </c>
      <c r="P13" s="290">
        <v>255.6</v>
      </c>
      <c r="Q13" s="290">
        <v>47.099999999999994</v>
      </c>
      <c r="R13" s="290">
        <v>6.1820000000000004</v>
      </c>
      <c r="S13" s="290">
        <v>3.59</v>
      </c>
      <c r="T13" s="290">
        <v>2.7109999999999999</v>
      </c>
      <c r="U13" s="290">
        <v>2.2999999999999998</v>
      </c>
      <c r="V13" s="290">
        <v>16.099999999999998</v>
      </c>
      <c r="W13" s="292">
        <v>97.2</v>
      </c>
    </row>
    <row r="14" spans="1:23">
      <c r="A14" s="288" t="s">
        <v>144</v>
      </c>
      <c r="B14" s="289">
        <v>263.59999999999997</v>
      </c>
      <c r="C14" s="290">
        <v>184.4</v>
      </c>
      <c r="D14" s="290">
        <v>150</v>
      </c>
      <c r="E14" s="290">
        <v>111.9</v>
      </c>
      <c r="F14" s="290">
        <v>67.099999999999994</v>
      </c>
      <c r="G14" s="290">
        <v>12.5</v>
      </c>
      <c r="H14" s="290">
        <v>9</v>
      </c>
      <c r="I14" s="290">
        <v>7.2140000000000004</v>
      </c>
      <c r="J14" s="290">
        <v>62.048000000000002</v>
      </c>
      <c r="K14" s="290">
        <v>86.527000000000001</v>
      </c>
      <c r="L14" s="290">
        <v>166.3</v>
      </c>
      <c r="M14" s="291">
        <v>197.8</v>
      </c>
      <c r="N14" s="289">
        <v>199.7</v>
      </c>
      <c r="O14" s="290">
        <v>213.1</v>
      </c>
      <c r="P14" s="290">
        <v>190.20000000000002</v>
      </c>
      <c r="Q14" s="290">
        <v>87.3</v>
      </c>
      <c r="R14" s="290">
        <v>34.9</v>
      </c>
      <c r="S14" s="290">
        <v>12.4</v>
      </c>
      <c r="T14" s="290">
        <v>7.8</v>
      </c>
      <c r="U14" s="290">
        <v>9.1999999999999993</v>
      </c>
      <c r="V14" s="290">
        <v>37.199999999999996</v>
      </c>
      <c r="W14" s="292">
        <v>105.30000000000001</v>
      </c>
    </row>
  </sheetData>
  <mergeCells count="1">
    <mergeCell ref="A3:V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22</vt:i4>
      </vt:variant>
    </vt:vector>
  </HeadingPairs>
  <TitlesOfParts>
    <vt:vector size="22" baseType="lpstr">
      <vt:lpstr>Investice a úspory</vt:lpstr>
      <vt:lpstr>Modelová nabídka</vt:lpstr>
      <vt:lpstr>Cenová příloha</vt:lpstr>
      <vt:lpstr>REFERENČNÍ ÚDAJE</vt:lpstr>
      <vt:lpstr>Spotřeby 2019-2022</vt:lpstr>
      <vt:lpstr>01_ZŠ Březová</vt:lpstr>
      <vt:lpstr>02_ZŠ Na Pěšině</vt:lpstr>
      <vt:lpstr>03_ZŠ Školní</vt:lpstr>
      <vt:lpstr>04_MŠ Školní</vt:lpstr>
      <vt:lpstr>05_ZŠ Kosmonautů</vt:lpstr>
      <vt:lpstr>06_MŠ Kosmonautů</vt:lpstr>
      <vt:lpstr>07_ŠJ Sládkova</vt:lpstr>
      <vt:lpstr>08_Městské divadlo</vt:lpstr>
      <vt:lpstr>09_ZŠ Vojanova</vt:lpstr>
      <vt:lpstr>10_MŠ Riegrova</vt:lpstr>
      <vt:lpstr>11_ZŠ Míru</vt:lpstr>
      <vt:lpstr>12_Knihovna</vt:lpstr>
      <vt:lpstr>13_Kino</vt:lpstr>
      <vt:lpstr>14_Magistrát B1+B2</vt:lpstr>
      <vt:lpstr>15_Zimní stadion</vt:lpstr>
      <vt:lpstr>16_Aquapark</vt:lpstr>
      <vt:lpstr>Teplo 2017-2018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2023-06-22T09:17:37Z</dcterms:modified>
</cp:coreProperties>
</file>