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<sst xmlns="http://schemas.openxmlformats.org/spreadsheetml/2006/main" count="355" uniqueCount="239">
  <si>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</si>
  <si>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</si>
  <si>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</si>
  <si>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</si>
  <si>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</si>
  <si>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</si>
  <si>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</si>
  <si>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</si>
  <si>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</si>
  <si>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</si>
  <si>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</si>
  <si>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</si>
  <si>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</si>
  <si>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</si>
  <si>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</si>
  <si>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</si>
  <si>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</si>
  <si>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</si>
  <si>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</si>
  <si>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</si>
  <si>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</si>
  <si>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</si>
  <si>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</si>
  <si>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</si>
  <si>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</si>
  <si>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</si>
  <si>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</si>
  <si>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</si>
  <si>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</si>
  <si>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</si>
  <si>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</si>
  <si>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</si>
  <si>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</si>
  <si>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</si>
  <si>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</si>
  <si>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</si>
  <si>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</si>
  <si>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</si>
  <si>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</si>
  <si>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</si>
  <si>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</si>
  <si>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</si>
  <si>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</si>
  <si>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</si>
  <si>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</si>
  <si>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</si>
  <si>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</si>
  <si>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</si>
  <si>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</si>
  <si>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Objekt</t>
  </si>
  <si>
    <t>Kód</t>
  </si>
  <si>
    <t>61</t>
  </si>
  <si>
    <t>612409991RT2</t>
  </si>
  <si>
    <t>612425931R00</t>
  </si>
  <si>
    <t>711</t>
  </si>
  <si>
    <t>711212002RT2</t>
  </si>
  <si>
    <t>725</t>
  </si>
  <si>
    <t>725290010RA0</t>
  </si>
  <si>
    <t>725119305R00</t>
  </si>
  <si>
    <t>725129201R00</t>
  </si>
  <si>
    <t>764</t>
  </si>
  <si>
    <t>764510491R00</t>
  </si>
  <si>
    <t>764510440RT2</t>
  </si>
  <si>
    <t>766</t>
  </si>
  <si>
    <t>769000000R00</t>
  </si>
  <si>
    <t>766694111R00</t>
  </si>
  <si>
    <t>766661112R00</t>
  </si>
  <si>
    <t>771</t>
  </si>
  <si>
    <t>771990010RA0</t>
  </si>
  <si>
    <t>771101121R00</t>
  </si>
  <si>
    <t>771571110R00</t>
  </si>
  <si>
    <t>771579791R00</t>
  </si>
  <si>
    <t>771579792R00</t>
  </si>
  <si>
    <t>771579793R00</t>
  </si>
  <si>
    <t>781</t>
  </si>
  <si>
    <t>781900010RA0</t>
  </si>
  <si>
    <t>781101121R00</t>
  </si>
  <si>
    <t>781415016R00</t>
  </si>
  <si>
    <t>781419705R00</t>
  </si>
  <si>
    <t>781419711R00</t>
  </si>
  <si>
    <t>781111121R00</t>
  </si>
  <si>
    <t>784</t>
  </si>
  <si>
    <t>784165612R00</t>
  </si>
  <si>
    <t>784161501R00</t>
  </si>
  <si>
    <t>784403801R00</t>
  </si>
  <si>
    <t>99018VD</t>
  </si>
  <si>
    <t>96</t>
  </si>
  <si>
    <t>968062354R00</t>
  </si>
  <si>
    <t>968061125R00</t>
  </si>
  <si>
    <t>999281111R00</t>
  </si>
  <si>
    <t>S</t>
  </si>
  <si>
    <t>979990111R00</t>
  </si>
  <si>
    <t>59760102.A</t>
  </si>
  <si>
    <t>597813663</t>
  </si>
  <si>
    <t>585512024</t>
  </si>
  <si>
    <t>59764203</t>
  </si>
  <si>
    <t>64232422</t>
  </si>
  <si>
    <t>60775303</t>
  </si>
  <si>
    <t>61143580</t>
  </si>
  <si>
    <t>61162142</t>
  </si>
  <si>
    <t>61174001</t>
  </si>
  <si>
    <t>54914623</t>
  </si>
  <si>
    <t>549146421</t>
  </si>
  <si>
    <t>Oprava venkovního WC v areálu SD Střelnice</t>
  </si>
  <si>
    <t>Stavební opravy</t>
  </si>
  <si>
    <t>Zkrácený popis</t>
  </si>
  <si>
    <t>Úprava povrchů vnitřní</t>
  </si>
  <si>
    <t>Začištění omítek kolem oken,dveří apod.</t>
  </si>
  <si>
    <t>Omítka vápenná vnitřního ostění - štuková</t>
  </si>
  <si>
    <t>Izolace proti vodě</t>
  </si>
  <si>
    <t>Stěrka hydroizolační těsnicí hmotou</t>
  </si>
  <si>
    <t>Zařizovací předměty</t>
  </si>
  <si>
    <t>Demontáž klozetu a pisoaru</t>
  </si>
  <si>
    <t>Montáž klozetových mís kombinovaných</t>
  </si>
  <si>
    <t>Montáž pisoárového záchodku bez nádrže</t>
  </si>
  <si>
    <t>Konstrukce klempířské</t>
  </si>
  <si>
    <t>Montáž oplechování parapetů Ti Zn</t>
  </si>
  <si>
    <t>Oplechování parapetů včetně rohů Ti Zn, rš 250 mm</t>
  </si>
  <si>
    <t>Konstrukce truhlářské</t>
  </si>
  <si>
    <t>Montáž plastových oken</t>
  </si>
  <si>
    <t>Montáž parapetních desek š.do 30 cm,dl.do 100 cm</t>
  </si>
  <si>
    <t>Montáž dveří do zárubně,otevíravých 1kř.do 0,8 m</t>
  </si>
  <si>
    <t>Podlahy z dlaždic</t>
  </si>
  <si>
    <t>Vybourání keramické nebo teracové dlažby</t>
  </si>
  <si>
    <t>Provedení penetrace podkladu</t>
  </si>
  <si>
    <t>Montáž podlah keram.,režné hladké, do MC, 30x30 cm</t>
  </si>
  <si>
    <t>Příplatek za plochu podlah keram. do 5 m2 jednotl.</t>
  </si>
  <si>
    <t>Příplatek za podlahy keram.v omezeném prostoru</t>
  </si>
  <si>
    <t>Příplatek za spárovací hmotu - plošně</t>
  </si>
  <si>
    <t>Obklady (keramické)</t>
  </si>
  <si>
    <t>Odsekání obkladů vnitřních</t>
  </si>
  <si>
    <t>Provedení penetrace podkladu - práce</t>
  </si>
  <si>
    <t>Montáž obkladů stěn, porovin.,tmel, nad 20x25 cm</t>
  </si>
  <si>
    <t>Příplatek k obkladu stěn za plochu do 10 m2 jedntl</t>
  </si>
  <si>
    <t>Montáž lišt rohových, vanových a dilatačních</t>
  </si>
  <si>
    <t>Malby a nátěry</t>
  </si>
  <si>
    <t>Malba tekutá HET Brillant, bílá, bez penetrace, 2x</t>
  </si>
  <si>
    <t>Penetrace podkladu nátěrem HET, Brillant, 1 x</t>
  </si>
  <si>
    <t>Odstranění maleb omytím v místnosti H do 3,8 m</t>
  </si>
  <si>
    <t>Nátěr zárubně včetně očištění</t>
  </si>
  <si>
    <t>Bourání konstrukcí</t>
  </si>
  <si>
    <t>Vybourání dřevěných rámů oken dvojitých pl. 1 m2</t>
  </si>
  <si>
    <t>Vyvěšení dřevěných dveřních křídel pl. do 2 m2</t>
  </si>
  <si>
    <t>Přesun hmot pro opravy a údržbu do výšky 25 m</t>
  </si>
  <si>
    <t>Přesuny sutí</t>
  </si>
  <si>
    <t>Poplatek za skládku suti - stavební keramika</t>
  </si>
  <si>
    <t>Ostatní materiál</t>
  </si>
  <si>
    <t>Lišta rohová plastová na obklad ukončovací 8 mm</t>
  </si>
  <si>
    <t>Obkládačka Color One 19,8x24,8</t>
  </si>
  <si>
    <t>AlfaFORM SCL spárovací hmota</t>
  </si>
  <si>
    <t>Dlažba Taurus Granit matná 300x300x9 mm</t>
  </si>
  <si>
    <t>Klozet kombii stojící odpad svislý/boční</t>
  </si>
  <si>
    <t>Parapet interiér DTD EGGER šíře 250 mm  s nosem</t>
  </si>
  <si>
    <t>Okno plastové 1křídlové OS , sklo kůra 560/590</t>
  </si>
  <si>
    <t>Dveře vnitřní fóliované plné  1kř.60x197 cm (2xL+1xP)</t>
  </si>
  <si>
    <t>Dveře vnější plné Masonite 80x197 cm (L+P)</t>
  </si>
  <si>
    <t>Dveřní kování PRAKTIK  WC</t>
  </si>
  <si>
    <t>Kování + FAB Klika-klika nerez mat</t>
  </si>
  <si>
    <t>Doba výstavby:</t>
  </si>
  <si>
    <t>Začátek výstavby:</t>
  </si>
  <si>
    <t>Konec výstavby:</t>
  </si>
  <si>
    <t>Zpracováno dne:</t>
  </si>
  <si>
    <t>M.j.</t>
  </si>
  <si>
    <t>m</t>
  </si>
  <si>
    <t>m2</t>
  </si>
  <si>
    <t>kus</t>
  </si>
  <si>
    <t>soubor</t>
  </si>
  <si>
    <t>kpl</t>
  </si>
  <si>
    <t>t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</si>
  <si>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</si>
  <si>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</si>
  <si>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</si>
  <si>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</si>
  <si>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</si>
  <si>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</si>
  <si>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</si>
  <si>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</si>
  <si>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</si>
  <si>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</si>
  <si>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</si>
  <si>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</si>
  <si>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Statutární město Děčín</t>
  </si>
  <si>
    <t>PROJEKCE Ing. Vladimír Hušek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</si>
  <si>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</si>
  <si>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</si>
  <si>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</si>
  <si>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</si>
  <si>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</si>
  <si>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</si>
  <si>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</si>
  <si>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</si>
  <si>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</si>
  <si>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</si>
  <si>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</si>
  <si>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</si>
  <si>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</si>
  <si>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</si>
  <si>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</si>
  <si>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</si>
  <si>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</si>
  <si>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</si>
  <si>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</si>
  <si>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</si>
  <si>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</si>
  <si>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</si>
  <si>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</si>
  <si>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</si>
  <si>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</si>
  <si>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</si>
  <si>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</si>
  <si>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</si>
  <si>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</si>
  <si>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</si>
  <si>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</si>
  <si>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</si>
  <si>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</si>
  <si>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</si>
  <si>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</si>
  <si>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</si>
  <si>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</si>
  <si>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</si>
  <si>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</si>
  <si>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</si>
  <si>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</si>
  <si>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</si>
  <si>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</si>
  <si>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</si>
  <si>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</si>
  <si>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</si>
  <si>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</si>
  <si>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</si>
  <si>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</si>
  <si>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</si>
  <si>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</si>
  <si>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</si>
  <si>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</si>
  <si>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</si>
  <si>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</si>
  <si>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10409025/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</si>
</sst>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12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8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2" borderId="7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2" borderId="7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2" borderId="7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0" fontId="3" fillId="2" borderId="7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2" borderId="7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7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49" fontId="8" fillId="2" borderId="26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9" fillId="2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49" fontId="10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9" fillId="2" borderId="25" xfId="0" applyNumberFormat="1" applyFont="1" applyFill="1" applyBorder="1" applyAlignment="1" applyProtection="1">
      <alignment horizontal="left" vertical="center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26" xfId="0" applyNumberFormat="1" applyFont="1" applyFill="1" applyBorder="1" applyAlignment="1" applyProtection="1">
      <alignment horizontal="right" vertical="center"/>
      <protection/>
    </xf>
    <xf numFmtId="0" fontId="9" fillId="2" borderId="33" xfId="0" applyNumberFormat="1" applyFont="1" applyFill="1" applyBorder="1" applyAlignment="1" applyProtection="1">
      <alignment horizontal="righ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35" xfId="0" applyNumberFormat="1" applyFont="1" applyFill="1" applyBorder="1" applyAlignment="1" applyProtection="1">
      <alignment horizontal="left" vertical="center"/>
      <protection/>
    </xf>
    <xf numFmtId="0" fontId="10" fillId="0" borderId="36" xfId="0" applyNumberFormat="1" applyFont="1" applyFill="1" applyBorder="1" applyAlignment="1" applyProtection="1">
      <alignment horizontal="left" vertical="center"/>
      <protection/>
    </xf>
    <xf numFmtId="49" fontId="10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0" fillId="0" borderId="33" xfId="0" applyNumberFormat="1" applyFont="1" applyFill="1" applyBorder="1" applyAlignment="1" applyProtection="1">
      <alignment horizontal="left" vertical="center"/>
      <protection/>
    </xf>
    <xf numFmtId="49" fontId="10" fillId="0" borderId="26" xfId="0" applyNumberFormat="1" applyFont="1" applyFill="1" applyBorder="1" applyAlignment="1" applyProtection="1">
      <alignment horizontal="righ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14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workbookViewId="0" topLeftCell="A1">
      <selection activeCell="AN8" sqref="AN8"/>
    </sheetView>
  </sheetViews>
  <sheetFormatPr defaultColWidth="9.140625" defaultRowHeight="12.75"/>
  <cols>
    <col min="1" max="1" width="3.00390625" style="0" customWidth="1"/>
    <col min="2" max="2" width="3.7109375" style="0" hidden="1" customWidth="1"/>
    <col min="3" max="3" width="13.28125" style="0" customWidth="1"/>
    <col min="4" max="4" width="46.28125" style="0" customWidth="1"/>
    <col min="5" max="5" width="4.28125" style="0" customWidth="1"/>
    <col min="6" max="6" width="10.8515625" style="0" customWidth="1"/>
    <col min="7" max="7" width="9.28125" style="0" customWidth="1"/>
    <col min="8" max="8" width="8.8515625" style="0" bestFit="1" customWidth="1"/>
    <col min="9" max="10" width="14.28125" style="0" customWidth="1"/>
    <col min="11" max="12" width="11.7109375" style="0" hidden="1" customWidth="1"/>
    <col min="13" max="13" width="11.421875" style="0" customWidth="1"/>
    <col min="14" max="37" width="12.140625" style="0" hidden="1" customWidth="1"/>
    <col min="38" max="16384" width="11.421875" style="0" customWidth="1"/>
  </cols>
  <sheetData>
    <row r="1" spans="1:12" ht="21.75" customHeight="1">
      <c r="A1" s="2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12.75">
      <c r="A2" s="3" t="s">
        <v>1</v>
      </c>
      <c r="B2" s="16"/>
      <c r="C2" s="16"/>
      <c r="D2" s="23" t="s">
        <v>103</v>
      </c>
      <c r="E2" s="28" t="s">
        <v>158</v>
      </c>
      <c r="F2" s="16"/>
      <c r="G2" s="28"/>
      <c r="H2" s="16"/>
      <c r="I2" s="28" t="s">
        <v>176</v>
      </c>
      <c r="J2" s="28" t="s">
        <v>181</v>
      </c>
      <c r="K2" s="16"/>
      <c r="L2" s="48"/>
      <c r="M2" s="51"/>
    </row>
    <row r="3" spans="1:13" ht="12.75">
      <c r="A3" s="4"/>
      <c r="B3" s="17"/>
      <c r="C3" s="17"/>
      <c r="D3" s="24"/>
      <c r="E3" s="17"/>
      <c r="F3" s="17"/>
      <c r="G3" s="17"/>
      <c r="H3" s="17"/>
      <c r="I3" s="17"/>
      <c r="J3" s="17"/>
      <c r="K3" s="17"/>
      <c r="L3" s="49"/>
      <c r="M3" s="51"/>
    </row>
    <row r="4" spans="1:13" ht="12.75">
      <c r="A4" s="5" t="s">
        <v>2</v>
      </c>
      <c r="B4" s="17"/>
      <c r="C4" s="17"/>
      <c r="D4" s="25" t="s">
        <v>104</v>
      </c>
      <c r="E4" s="25" t="s">
        <v>159</v>
      </c>
      <c r="F4" s="17"/>
      <c r="G4" s="35">
        <v>42503</v>
      </c>
      <c r="H4" s="17"/>
      <c r="I4" s="25" t="s">
        <v>177</v>
      </c>
      <c r="J4" s="25" t="s">
        <v>182</v>
      </c>
      <c r="K4" s="17"/>
      <c r="L4" s="49"/>
      <c r="M4" s="51"/>
    </row>
    <row r="5" spans="1:13" ht="12.75">
      <c r="A5" s="4"/>
      <c r="B5" s="17"/>
      <c r="C5" s="17"/>
      <c r="D5" s="17"/>
      <c r="E5" s="17"/>
      <c r="F5" s="17"/>
      <c r="G5" s="17"/>
      <c r="H5" s="17"/>
      <c r="I5" s="17"/>
      <c r="J5" s="17"/>
      <c r="K5" s="17"/>
      <c r="L5" s="49"/>
      <c r="M5" s="51"/>
    </row>
    <row r="6" spans="1:13" ht="12.75">
      <c r="A6" s="5" t="s">
        <v>3</v>
      </c>
      <c r="B6" s="17"/>
      <c r="C6" s="17"/>
      <c r="D6" s="25"/>
      <c r="E6" s="25" t="s">
        <v>160</v>
      </c>
      <c r="F6" s="17"/>
      <c r="G6" s="17"/>
      <c r="H6" s="17"/>
      <c r="I6" s="25" t="s">
        <v>178</v>
      </c>
      <c r="J6" s="25"/>
      <c r="K6" s="17"/>
      <c r="L6" s="49"/>
      <c r="M6" s="51"/>
    </row>
    <row r="7" spans="1:13" ht="12.75">
      <c r="A7" s="4"/>
      <c r="B7" s="17"/>
      <c r="C7" s="17"/>
      <c r="D7" s="17"/>
      <c r="E7" s="17"/>
      <c r="F7" s="17"/>
      <c r="G7" s="17"/>
      <c r="H7" s="17"/>
      <c r="I7" s="17"/>
      <c r="J7" s="17"/>
      <c r="K7" s="17"/>
      <c r="L7" s="49"/>
      <c r="M7" s="51"/>
    </row>
    <row r="8" spans="1:13" ht="12.75">
      <c r="A8" s="5" t="s">
        <v>4</v>
      </c>
      <c r="B8" s="17"/>
      <c r="C8" s="17"/>
      <c r="D8" s="25"/>
      <c r="E8" s="25" t="s">
        <v>161</v>
      </c>
      <c r="F8" s="17"/>
      <c r="G8" s="35">
        <v>42503</v>
      </c>
      <c r="H8" s="17"/>
      <c r="I8" s="25" t="s">
        <v>179</v>
      </c>
      <c r="J8" s="25"/>
      <c r="K8" s="17"/>
      <c r="L8" s="49"/>
      <c r="M8" s="51"/>
    </row>
    <row r="9" spans="1:13" ht="12.75">
      <c r="A9" s="6"/>
      <c r="B9" s="18"/>
      <c r="C9" s="18"/>
      <c r="D9" s="18"/>
      <c r="E9" s="18"/>
      <c r="F9" s="18"/>
      <c r="G9" s="18"/>
      <c r="H9" s="18"/>
      <c r="I9" s="18"/>
      <c r="J9" s="18"/>
      <c r="K9" s="18"/>
      <c r="L9" s="50"/>
      <c r="M9" s="51"/>
    </row>
    <row r="10" spans="1:13" ht="12.75">
      <c r="A10" s="7" t="s">
        <v>5</v>
      </c>
      <c r="B10" s="19" t="s">
        <v>5</v>
      </c>
      <c r="C10" s="19" t="s">
        <v>5</v>
      </c>
      <c r="D10" s="19" t="s">
        <v>5</v>
      </c>
      <c r="E10" s="19" t="s">
        <v>5</v>
      </c>
      <c r="F10" s="19" t="s">
        <v>5</v>
      </c>
      <c r="G10" s="36" t="s">
        <v>171</v>
      </c>
      <c r="H10" s="39" t="s">
        <v>173</v>
      </c>
      <c r="I10" s="41"/>
      <c r="J10" s="44"/>
      <c r="K10" s="39" t="s">
        <v>184</v>
      </c>
      <c r="L10" s="44"/>
      <c r="M10" s="52"/>
    </row>
    <row r="11" spans="1:24" ht="12.75">
      <c r="A11" s="8" t="s">
        <v>6</v>
      </c>
      <c r="B11" s="20" t="s">
        <v>49</v>
      </c>
      <c r="C11" s="20" t="s">
        <v>50</v>
      </c>
      <c r="D11" s="20" t="s">
        <v>105</v>
      </c>
      <c r="E11" s="20" t="s">
        <v>162</v>
      </c>
      <c r="F11" s="31" t="s">
        <v>170</v>
      </c>
      <c r="G11" s="37" t="s">
        <v>172</v>
      </c>
      <c r="H11" s="40" t="s">
        <v>174</v>
      </c>
      <c r="I11" s="42" t="s">
        <v>180</v>
      </c>
      <c r="J11" s="45" t="s">
        <v>183</v>
      </c>
      <c r="K11" s="40" t="s">
        <v>171</v>
      </c>
      <c r="L11" s="45" t="s">
        <v>183</v>
      </c>
      <c r="M11" s="52"/>
      <c r="P11" s="47" t="s">
        <v>186</v>
      </c>
      <c r="Q11" s="47" t="s">
        <v>187</v>
      </c>
      <c r="R11" s="47" t="s">
        <v>192</v>
      </c>
      <c r="S11" s="47" t="s">
        <v>193</v>
      </c>
      <c r="T11" s="47" t="s">
        <v>194</v>
      </c>
      <c r="U11" s="47" t="s">
        <v>195</v>
      </c>
      <c r="V11" s="47" t="s">
        <v>196</v>
      </c>
      <c r="W11" s="47" t="s">
        <v>197</v>
      </c>
      <c r="X11" s="47" t="s">
        <v>198</v>
      </c>
    </row>
    <row r="12" spans="1:37" ht="12.75">
      <c r="A12" s="9"/>
      <c r="B12" s="9"/>
      <c r="C12" s="21" t="s">
        <v>51</v>
      </c>
      <c r="D12" s="26" t="s">
        <v>106</v>
      </c>
      <c r="E12" s="29"/>
      <c r="F12" s="29"/>
      <c r="G12" s="29"/>
      <c r="H12" s="56">
        <f>SUM(H13:H14)</f>
        <v>0</v>
      </c>
      <c r="I12" s="56">
        <f>SUM(I13:I14)</f>
        <v>0</v>
      </c>
      <c r="J12" s="56">
        <f>H12+I12</f>
        <v>0</v>
      </c>
      <c r="K12" s="46"/>
      <c r="L12" s="56">
        <f>SUM(L13:L14)</f>
        <v>0.1633462</v>
      </c>
      <c r="P12" s="57">
        <f>IF(Q12="PR",J12,SUM(O13:O14))</f>
        <v>0</v>
      </c>
      <c r="Q12" s="47" t="s">
        <v>188</v>
      </c>
      <c r="R12" s="57">
        <f>IF(Q12="HS",H12,0)</f>
        <v>0</v>
      </c>
      <c r="S12" s="57">
        <f>IF(Q12="HS",I12-P12,0)</f>
        <v>0</v>
      </c>
      <c r="T12" s="57">
        <f>IF(Q12="PS",H12,0)</f>
        <v>0</v>
      </c>
      <c r="U12" s="57">
        <f>IF(Q12="PS",I12-P12,0)</f>
        <v>0</v>
      </c>
      <c r="V12" s="57">
        <f>IF(Q12="MP",H12,0)</f>
        <v>0</v>
      </c>
      <c r="W12" s="57">
        <f>IF(Q12="MP",I12-P12,0)</f>
        <v>0</v>
      </c>
      <c r="X12" s="57">
        <f>IF(Q12="OM",H12,0)</f>
        <v>0</v>
      </c>
      <c r="Y12" s="47"/>
      <c r="AI12" s="57">
        <f>SUM(Z13:Z14)</f>
        <v>0</v>
      </c>
      <c r="AJ12" s="57">
        <f>SUM(AA13:AA14)</f>
        <v>0</v>
      </c>
      <c r="AK12" s="57">
        <f>SUM(AB13:AB14)</f>
        <v>0</v>
      </c>
    </row>
    <row r="13" spans="1:32" ht="12.75">
      <c r="A13" s="10" t="s">
        <v>7</v>
      </c>
      <c r="B13" s="10"/>
      <c r="C13" s="10" t="s">
        <v>52</v>
      </c>
      <c r="D13" s="10" t="s">
        <v>107</v>
      </c>
      <c r="E13" s="10" t="s">
        <v>163</v>
      </c>
      <c r="F13" s="32">
        <v>30.6</v>
      </c>
      <c r="H13" s="32">
        <f>ROUND(F13*AE13,2)</f>
        <v>0</v>
      </c>
      <c r="I13" s="32">
        <f>J13-H13</f>
        <v>0</v>
      </c>
      <c r="J13" s="32">
        <f>ROUND(F13*G13,2)</f>
        <v>0</v>
      </c>
      <c r="K13" s="32">
        <v>0.00238</v>
      </c>
      <c r="L13" s="32">
        <f>F13*K13</f>
        <v>0.072828</v>
      </c>
      <c r="N13" s="53" t="s">
        <v>7</v>
      </c>
      <c r="O13" s="32">
        <f>IF(N13="5",I13,0)</f>
        <v>0</v>
      </c>
      <c r="Z13" s="32">
        <f>IF(AD13=0,J13,0)</f>
        <v>0</v>
      </c>
      <c r="AA13" s="32">
        <f>IF(AD13=15,J13,0)</f>
        <v>0</v>
      </c>
      <c r="AB13" s="32">
        <f>IF(AD13=21,J13,0)</f>
        <v>0</v>
      </c>
      <c r="AD13" s="55">
        <v>15</v>
      </c>
      <c r="AE13" s="55">
        <f>G13*0.155527906150018</f>
        <v>0</v>
      </c>
      <c r="AF13" s="55">
        <f>G13*(1-0.155527906150018)</f>
        <v>0</v>
      </c>
    </row>
    <row r="14" spans="1:32" ht="12.75">
      <c r="A14" s="10" t="s">
        <v>8</v>
      </c>
      <c r="B14" s="10"/>
      <c r="C14" s="10" t="s">
        <v>53</v>
      </c>
      <c r="D14" s="10" t="s">
        <v>108</v>
      </c>
      <c r="E14" s="10" t="s">
        <v>164</v>
      </c>
      <c r="F14" s="32">
        <v>1.58</v>
      </c>
      <c r="H14" s="32">
        <f>ROUND(F14*AE14,2)</f>
        <v>0</v>
      </c>
      <c r="I14" s="32">
        <f>J14-H14</f>
        <v>0</v>
      </c>
      <c r="J14" s="32">
        <f>ROUND(F14*G14,2)</f>
        <v>0</v>
      </c>
      <c r="K14" s="32">
        <v>0.05729</v>
      </c>
      <c r="L14" s="32">
        <f>F14*K14</f>
        <v>0.09051820000000001</v>
      </c>
      <c r="N14" s="53" t="s">
        <v>7</v>
      </c>
      <c r="O14" s="32">
        <f>IF(N14="5",I14,0)</f>
        <v>0</v>
      </c>
      <c r="Z14" s="32">
        <f>IF(AD14=0,J14,0)</f>
        <v>0</v>
      </c>
      <c r="AA14" s="32">
        <f>IF(AD14=15,J14,0)</f>
        <v>0</v>
      </c>
      <c r="AB14" s="32">
        <f>IF(AD14=21,J14,0)</f>
        <v>0</v>
      </c>
      <c r="AD14" s="55">
        <v>15</v>
      </c>
      <c r="AE14" s="55">
        <f>G14*0.193957400510524</f>
        <v>0</v>
      </c>
      <c r="AF14" s="55">
        <f>G14*(1-0.193957400510524)</f>
        <v>0</v>
      </c>
    </row>
    <row r="15" spans="1:37" ht="12.75">
      <c r="A15" s="11"/>
      <c r="B15" s="11"/>
      <c r="C15" s="22" t="s">
        <v>54</v>
      </c>
      <c r="D15" s="27" t="s">
        <v>109</v>
      </c>
      <c r="E15" s="30"/>
      <c r="F15" s="30"/>
      <c r="G15" s="30"/>
      <c r="H15" s="57">
        <f>SUM(H16:H16)</f>
        <v>0</v>
      </c>
      <c r="I15" s="57">
        <f>SUM(I16:I16)</f>
        <v>0</v>
      </c>
      <c r="J15" s="57">
        <f>H15+I15</f>
        <v>0</v>
      </c>
      <c r="K15" s="47"/>
      <c r="L15" s="57">
        <f>SUM(L16:L16)</f>
        <v>0.0441</v>
      </c>
      <c r="P15" s="57">
        <f>IF(Q15="PR",J15,SUM(O16:O16))</f>
        <v>0</v>
      </c>
      <c r="Q15" s="47" t="s">
        <v>189</v>
      </c>
      <c r="R15" s="57">
        <f>IF(Q15="HS",H15,0)</f>
        <v>0</v>
      </c>
      <c r="S15" s="57">
        <f>IF(Q15="HS",I15-P15,0)</f>
        <v>0</v>
      </c>
      <c r="T15" s="57">
        <f>IF(Q15="PS",H15,0)</f>
        <v>0</v>
      </c>
      <c r="U15" s="57">
        <f>IF(Q15="PS",I15-P15,0)</f>
        <v>0</v>
      </c>
      <c r="V15" s="57">
        <f>IF(Q15="MP",H15,0)</f>
        <v>0</v>
      </c>
      <c r="W15" s="57">
        <f>IF(Q15="MP",I15-P15,0)</f>
        <v>0</v>
      </c>
      <c r="X15" s="57">
        <f>IF(Q15="OM",H15,0)</f>
        <v>0</v>
      </c>
      <c r="Y15" s="47"/>
      <c r="AI15" s="57">
        <f>SUM(Z16:Z16)</f>
        <v>0</v>
      </c>
      <c r="AJ15" s="57">
        <f>SUM(AA16:AA16)</f>
        <v>0</v>
      </c>
      <c r="AK15" s="57">
        <f>SUM(AB16:AB16)</f>
        <v>0</v>
      </c>
    </row>
    <row r="16" spans="1:32" ht="12.75">
      <c r="A16" s="10" t="s">
        <v>9</v>
      </c>
      <c r="B16" s="10"/>
      <c r="C16" s="10" t="s">
        <v>55</v>
      </c>
      <c r="D16" s="10" t="s">
        <v>110</v>
      </c>
      <c r="E16" s="10" t="s">
        <v>164</v>
      </c>
      <c r="F16" s="32">
        <v>8.82</v>
      </c>
      <c r="H16" s="32">
        <f>ROUND(F16*AE16,2)</f>
        <v>0</v>
      </c>
      <c r="I16" s="32">
        <f>J16-H16</f>
        <v>0</v>
      </c>
      <c r="J16" s="32">
        <f>ROUND(F16*G16,2)</f>
        <v>0</v>
      </c>
      <c r="K16" s="32">
        <v>0.005</v>
      </c>
      <c r="L16" s="32">
        <f>F16*K16</f>
        <v>0.0441</v>
      </c>
      <c r="N16" s="53" t="s">
        <v>7</v>
      </c>
      <c r="O16" s="32">
        <f>IF(N16="5",I16,0)</f>
        <v>0</v>
      </c>
      <c r="Z16" s="32">
        <f>IF(AD16=0,J16,0)</f>
        <v>0</v>
      </c>
      <c r="AA16" s="32">
        <f>IF(AD16=15,J16,0)</f>
        <v>0</v>
      </c>
      <c r="AB16" s="32">
        <f>IF(AD16=21,J16,0)</f>
        <v>0</v>
      </c>
      <c r="AD16" s="55">
        <v>15</v>
      </c>
      <c r="AE16" s="55">
        <f>G16*0.709084070637963</f>
        <v>0</v>
      </c>
      <c r="AF16" s="55">
        <f>G16*(1-0.709084070637963)</f>
        <v>0</v>
      </c>
    </row>
    <row r="17" spans="1:37" ht="12.75">
      <c r="A17" s="11"/>
      <c r="B17" s="11"/>
      <c r="C17" s="22" t="s">
        <v>56</v>
      </c>
      <c r="D17" s="27" t="s">
        <v>111</v>
      </c>
      <c r="E17" s="30"/>
      <c r="F17" s="30"/>
      <c r="G17" s="30"/>
      <c r="H17" s="57">
        <f>SUM(H18:H20)</f>
        <v>0</v>
      </c>
      <c r="I17" s="57">
        <f>SUM(I18:I20)</f>
        <v>0</v>
      </c>
      <c r="J17" s="57">
        <f>H17+I17</f>
        <v>0</v>
      </c>
      <c r="K17" s="47"/>
      <c r="L17" s="57">
        <f>SUM(L18:L20)</f>
        <v>0.10808000000000001</v>
      </c>
      <c r="P17" s="57">
        <f>IF(Q17="PR",J17,SUM(O18:O20))</f>
        <v>0</v>
      </c>
      <c r="Q17" s="47" t="s">
        <v>189</v>
      </c>
      <c r="R17" s="57">
        <f>IF(Q17="HS",H17,0)</f>
        <v>0</v>
      </c>
      <c r="S17" s="57">
        <f>IF(Q17="HS",I17-P17,0)</f>
        <v>0</v>
      </c>
      <c r="T17" s="57">
        <f>IF(Q17="PS",H17,0)</f>
        <v>0</v>
      </c>
      <c r="U17" s="57">
        <f>IF(Q17="PS",I17-P17,0)</f>
        <v>0</v>
      </c>
      <c r="V17" s="57">
        <f>IF(Q17="MP",H17,0)</f>
        <v>0</v>
      </c>
      <c r="W17" s="57">
        <f>IF(Q17="MP",I17-P17,0)</f>
        <v>0</v>
      </c>
      <c r="X17" s="57">
        <f>IF(Q17="OM",H17,0)</f>
        <v>0</v>
      </c>
      <c r="Y17" s="47"/>
      <c r="AI17" s="57">
        <f>SUM(Z18:Z20)</f>
        <v>0</v>
      </c>
      <c r="AJ17" s="57">
        <f>SUM(AA18:AA20)</f>
        <v>0</v>
      </c>
      <c r="AK17" s="57">
        <f>SUM(AB18:AB20)</f>
        <v>0</v>
      </c>
    </row>
    <row r="18" spans="1:32" ht="12.75">
      <c r="A18" s="10" t="s">
        <v>10</v>
      </c>
      <c r="B18" s="10"/>
      <c r="C18" s="10" t="s">
        <v>57</v>
      </c>
      <c r="D18" s="10" t="s">
        <v>112</v>
      </c>
      <c r="E18" s="10" t="s">
        <v>165</v>
      </c>
      <c r="F18" s="32">
        <v>5</v>
      </c>
      <c r="H18" s="32">
        <f>ROUND(F18*AE18,2)</f>
        <v>0</v>
      </c>
      <c r="I18" s="32">
        <f>J18-H18</f>
        <v>0</v>
      </c>
      <c r="J18" s="32">
        <f>ROUND(F18*G18,2)</f>
        <v>0</v>
      </c>
      <c r="K18" s="32">
        <v>0.019</v>
      </c>
      <c r="L18" s="32">
        <f>F18*K18</f>
        <v>0.095</v>
      </c>
      <c r="N18" s="53" t="s">
        <v>9</v>
      </c>
      <c r="O18" s="32">
        <f>IF(N18="5",I18,0)</f>
        <v>0</v>
      </c>
      <c r="Z18" s="32">
        <f>IF(AD18=0,J18,0)</f>
        <v>0</v>
      </c>
      <c r="AA18" s="32">
        <f>IF(AD18=15,J18,0)</f>
        <v>0</v>
      </c>
      <c r="AB18" s="32">
        <f>IF(AD18=21,J18,0)</f>
        <v>0</v>
      </c>
      <c r="AD18" s="55">
        <v>15</v>
      </c>
      <c r="AE18" s="55">
        <f>G18*0</f>
        <v>0</v>
      </c>
      <c r="AF18" s="55">
        <f>G18*(1-0)</f>
        <v>0</v>
      </c>
    </row>
    <row r="19" spans="1:32" ht="12.75">
      <c r="A19" s="10" t="s">
        <v>11</v>
      </c>
      <c r="B19" s="10"/>
      <c r="C19" s="10" t="s">
        <v>58</v>
      </c>
      <c r="D19" s="10" t="s">
        <v>113</v>
      </c>
      <c r="E19" s="10" t="s">
        <v>166</v>
      </c>
      <c r="F19" s="32">
        <v>3</v>
      </c>
      <c r="H19" s="32">
        <f>ROUND(F19*AE19,2)</f>
        <v>0</v>
      </c>
      <c r="I19" s="32">
        <f>J19-H19</f>
        <v>0</v>
      </c>
      <c r="J19" s="32">
        <f>ROUND(F19*G19,2)</f>
        <v>0</v>
      </c>
      <c r="K19" s="32">
        <v>0.00186</v>
      </c>
      <c r="L19" s="32">
        <f>F19*K19</f>
        <v>0.00558</v>
      </c>
      <c r="N19" s="53" t="s">
        <v>7</v>
      </c>
      <c r="O19" s="32">
        <f>IF(N19="5",I19,0)</f>
        <v>0</v>
      </c>
      <c r="Z19" s="32">
        <f>IF(AD19=0,J19,0)</f>
        <v>0</v>
      </c>
      <c r="AA19" s="32">
        <f>IF(AD19=15,J19,0)</f>
        <v>0</v>
      </c>
      <c r="AB19" s="32">
        <f>IF(AD19=21,J19,0)</f>
        <v>0</v>
      </c>
      <c r="AD19" s="55">
        <v>15</v>
      </c>
      <c r="AE19" s="55">
        <f>G19*0.482444749202034</f>
        <v>0</v>
      </c>
      <c r="AF19" s="55">
        <f>G19*(1-0.482444749202034)</f>
        <v>0</v>
      </c>
    </row>
    <row r="20" spans="1:32" ht="12.75">
      <c r="A20" s="10" t="s">
        <v>12</v>
      </c>
      <c r="B20" s="10"/>
      <c r="C20" s="10" t="s">
        <v>59</v>
      </c>
      <c r="D20" s="10" t="s">
        <v>114</v>
      </c>
      <c r="E20" s="10" t="s">
        <v>166</v>
      </c>
      <c r="F20" s="32">
        <v>2</v>
      </c>
      <c r="H20" s="32">
        <f>ROUND(F20*AE20,2)</f>
        <v>0</v>
      </c>
      <c r="I20" s="32">
        <f>J20-H20</f>
        <v>0</v>
      </c>
      <c r="J20" s="32">
        <f>ROUND(F20*G20,2)</f>
        <v>0</v>
      </c>
      <c r="K20" s="32">
        <v>0.00375</v>
      </c>
      <c r="L20" s="32">
        <f>F20*K20</f>
        <v>0.0075</v>
      </c>
      <c r="N20" s="53" t="s">
        <v>7</v>
      </c>
      <c r="O20" s="32">
        <f>IF(N20="5",I20,0)</f>
        <v>0</v>
      </c>
      <c r="Z20" s="32">
        <f>IF(AD20=0,J20,0)</f>
        <v>0</v>
      </c>
      <c r="AA20" s="32">
        <f>IF(AD20=15,J20,0)</f>
        <v>0</v>
      </c>
      <c r="AB20" s="32">
        <f>IF(AD20=21,J20,0)</f>
        <v>0</v>
      </c>
      <c r="AD20" s="55">
        <v>15</v>
      </c>
      <c r="AE20" s="55">
        <f>G20*0.738510541483391</f>
        <v>0</v>
      </c>
      <c r="AF20" s="55">
        <f>G20*(1-0.738510541483391)</f>
        <v>0</v>
      </c>
    </row>
    <row r="21" spans="1:37" ht="12.75">
      <c r="A21" s="11"/>
      <c r="B21" s="11"/>
      <c r="C21" s="22" t="s">
        <v>60</v>
      </c>
      <c r="D21" s="27" t="s">
        <v>115</v>
      </c>
      <c r="E21" s="30"/>
      <c r="F21" s="30"/>
      <c r="G21" s="30"/>
      <c r="H21" s="57">
        <f>SUM(H22:H23)</f>
        <v>0</v>
      </c>
      <c r="I21" s="57">
        <f>SUM(I22:I23)</f>
        <v>0</v>
      </c>
      <c r="J21" s="57">
        <f>H21+I21</f>
        <v>0</v>
      </c>
      <c r="K21" s="47"/>
      <c r="L21" s="57">
        <f>SUM(L22:L23)</f>
        <v>0.0072239999999999995</v>
      </c>
      <c r="P21" s="57">
        <f>IF(Q21="PR",J21,SUM(O22:O23))</f>
        <v>0</v>
      </c>
      <c r="Q21" s="47" t="s">
        <v>189</v>
      </c>
      <c r="R21" s="57">
        <f>IF(Q21="HS",H21,0)</f>
        <v>0</v>
      </c>
      <c r="S21" s="57">
        <f>IF(Q21="HS",I21-P21,0)</f>
        <v>0</v>
      </c>
      <c r="T21" s="57">
        <f>IF(Q21="PS",H21,0)</f>
        <v>0</v>
      </c>
      <c r="U21" s="57">
        <f>IF(Q21="PS",I21-P21,0)</f>
        <v>0</v>
      </c>
      <c r="V21" s="57">
        <f>IF(Q21="MP",H21,0)</f>
        <v>0</v>
      </c>
      <c r="W21" s="57">
        <f>IF(Q21="MP",I21-P21,0)</f>
        <v>0</v>
      </c>
      <c r="X21" s="57">
        <f>IF(Q21="OM",H21,0)</f>
        <v>0</v>
      </c>
      <c r="Y21" s="47"/>
      <c r="AI21" s="57">
        <f>SUM(Z22:Z23)</f>
        <v>0</v>
      </c>
      <c r="AJ21" s="57">
        <f>SUM(AA22:AA23)</f>
        <v>0</v>
      </c>
      <c r="AK21" s="57">
        <f>SUM(AB22:AB23)</f>
        <v>0</v>
      </c>
    </row>
    <row r="22" spans="1:32" ht="12.75">
      <c r="A22" s="10" t="s">
        <v>13</v>
      </c>
      <c r="B22" s="10"/>
      <c r="C22" s="10" t="s">
        <v>61</v>
      </c>
      <c r="D22" s="10" t="s">
        <v>116</v>
      </c>
      <c r="E22" s="10" t="s">
        <v>163</v>
      </c>
      <c r="F22" s="32">
        <v>2.4</v>
      </c>
      <c r="H22" s="32">
        <f>ROUND(F22*AE22,2)</f>
        <v>0</v>
      </c>
      <c r="I22" s="32">
        <f>J22-H22</f>
        <v>0</v>
      </c>
      <c r="J22" s="32">
        <f>ROUND(F22*G22,2)</f>
        <v>0</v>
      </c>
      <c r="K22" s="32">
        <v>0.00093</v>
      </c>
      <c r="L22" s="32">
        <f>F22*K22</f>
        <v>0.002232</v>
      </c>
      <c r="N22" s="53" t="s">
        <v>7</v>
      </c>
      <c r="O22" s="32">
        <f>IF(N22="5",I22,0)</f>
        <v>0</v>
      </c>
      <c r="Z22" s="32">
        <f>IF(AD22=0,J22,0)</f>
        <v>0</v>
      </c>
      <c r="AA22" s="32">
        <f>IF(AD22=15,J22,0)</f>
        <v>0</v>
      </c>
      <c r="AB22" s="32">
        <f>IF(AD22=21,J22,0)</f>
        <v>0</v>
      </c>
      <c r="AD22" s="55">
        <v>15</v>
      </c>
      <c r="AE22" s="55">
        <f>G22*0.088641990217982</f>
        <v>0</v>
      </c>
      <c r="AF22" s="55">
        <f>G22*(1-0.088641990217982)</f>
        <v>0</v>
      </c>
    </row>
    <row r="23" spans="1:32" ht="12.75">
      <c r="A23" s="10" t="s">
        <v>14</v>
      </c>
      <c r="B23" s="10"/>
      <c r="C23" s="10" t="s">
        <v>62</v>
      </c>
      <c r="D23" s="10" t="s">
        <v>117</v>
      </c>
      <c r="E23" s="10" t="s">
        <v>163</v>
      </c>
      <c r="F23" s="32">
        <v>2.4</v>
      </c>
      <c r="H23" s="32">
        <f>ROUND(F23*AE23,2)</f>
        <v>0</v>
      </c>
      <c r="I23" s="32">
        <f>J23-H23</f>
        <v>0</v>
      </c>
      <c r="J23" s="32">
        <f>ROUND(F23*G23,2)</f>
        <v>0</v>
      </c>
      <c r="K23" s="32">
        <v>0.00208</v>
      </c>
      <c r="L23" s="32">
        <f>F23*K23</f>
        <v>0.004991999999999999</v>
      </c>
      <c r="N23" s="53" t="s">
        <v>7</v>
      </c>
      <c r="O23" s="32">
        <f>IF(N23="5",I23,0)</f>
        <v>0</v>
      </c>
      <c r="Z23" s="32">
        <f>IF(AD23=0,J23,0)</f>
        <v>0</v>
      </c>
      <c r="AA23" s="32">
        <f>IF(AD23=15,J23,0)</f>
        <v>0</v>
      </c>
      <c r="AB23" s="32">
        <f>IF(AD23=21,J23,0)</f>
        <v>0</v>
      </c>
      <c r="AD23" s="55">
        <v>15</v>
      </c>
      <c r="AE23" s="55">
        <f>G23*0.462998793562632</f>
        <v>0</v>
      </c>
      <c r="AF23" s="55">
        <f>G23*(1-0.462998793562632)</f>
        <v>0</v>
      </c>
    </row>
    <row r="24" spans="1:37" ht="12.75">
      <c r="A24" s="11"/>
      <c r="B24" s="11"/>
      <c r="C24" s="22" t="s">
        <v>63</v>
      </c>
      <c r="D24" s="27" t="s">
        <v>118</v>
      </c>
      <c r="E24" s="30"/>
      <c r="F24" s="30"/>
      <c r="G24" s="30"/>
      <c r="H24" s="57">
        <f>SUM(H25:H27)</f>
        <v>0</v>
      </c>
      <c r="I24" s="57">
        <f>SUM(I25:I27)</f>
        <v>0</v>
      </c>
      <c r="J24" s="57">
        <f>H24+I24</f>
        <v>0</v>
      </c>
      <c r="K24" s="47"/>
      <c r="L24" s="57">
        <f>SUM(L25:L27)</f>
        <v>0.0010639999999999998</v>
      </c>
      <c r="P24" s="57">
        <f>IF(Q24="PR",J24,SUM(O25:O27))</f>
        <v>0</v>
      </c>
      <c r="Q24" s="47" t="s">
        <v>189</v>
      </c>
      <c r="R24" s="57">
        <f>IF(Q24="HS",H24,0)</f>
        <v>0</v>
      </c>
      <c r="S24" s="57">
        <f>IF(Q24="HS",I24-P24,0)</f>
        <v>0</v>
      </c>
      <c r="T24" s="57">
        <f>IF(Q24="PS",H24,0)</f>
        <v>0</v>
      </c>
      <c r="U24" s="57">
        <f>IF(Q24="PS",I24-P24,0)</f>
        <v>0</v>
      </c>
      <c r="V24" s="57">
        <f>IF(Q24="MP",H24,0)</f>
        <v>0</v>
      </c>
      <c r="W24" s="57">
        <f>IF(Q24="MP",I24-P24,0)</f>
        <v>0</v>
      </c>
      <c r="X24" s="57">
        <f>IF(Q24="OM",H24,0)</f>
        <v>0</v>
      </c>
      <c r="Y24" s="47"/>
      <c r="AI24" s="57">
        <f>SUM(Z25:Z27)</f>
        <v>0</v>
      </c>
      <c r="AJ24" s="57">
        <f>SUM(AA25:AA27)</f>
        <v>0</v>
      </c>
      <c r="AK24" s="57">
        <f>SUM(AB25:AB27)</f>
        <v>0</v>
      </c>
    </row>
    <row r="25" spans="1:32" ht="12.75">
      <c r="A25" s="10" t="s">
        <v>15</v>
      </c>
      <c r="B25" s="10"/>
      <c r="C25" s="10" t="s">
        <v>64</v>
      </c>
      <c r="D25" s="10" t="s">
        <v>119</v>
      </c>
      <c r="E25" s="10" t="s">
        <v>165</v>
      </c>
      <c r="F25" s="32">
        <v>4</v>
      </c>
      <c r="H25" s="32">
        <f>ROUND(F25*AE25,2)</f>
        <v>0</v>
      </c>
      <c r="I25" s="32">
        <f>J25-H25</f>
        <v>0</v>
      </c>
      <c r="J25" s="32">
        <f>ROUND(F25*G25,2)</f>
        <v>0</v>
      </c>
      <c r="K25" s="32">
        <v>0.00026</v>
      </c>
      <c r="L25" s="32">
        <f>F25*K25</f>
        <v>0.00104</v>
      </c>
      <c r="N25" s="53" t="s">
        <v>7</v>
      </c>
      <c r="O25" s="32">
        <f>IF(N25="5",I25,0)</f>
        <v>0</v>
      </c>
      <c r="Z25" s="32">
        <f>IF(AD25=0,J25,0)</f>
        <v>0</v>
      </c>
      <c r="AA25" s="32">
        <f>IF(AD25=15,J25,0)</f>
        <v>0</v>
      </c>
      <c r="AB25" s="32">
        <f>IF(AD25=21,J25,0)</f>
        <v>0</v>
      </c>
      <c r="AD25" s="55">
        <v>15</v>
      </c>
      <c r="AE25" s="55">
        <f>G25*0.0466207230081006</f>
        <v>0</v>
      </c>
      <c r="AF25" s="55">
        <f>G25*(1-0.0466207230081006)</f>
        <v>0</v>
      </c>
    </row>
    <row r="26" spans="1:32" ht="12.75">
      <c r="A26" s="10" t="s">
        <v>16</v>
      </c>
      <c r="B26" s="10"/>
      <c r="C26" s="10" t="s">
        <v>65</v>
      </c>
      <c r="D26" s="10" t="s">
        <v>120</v>
      </c>
      <c r="E26" s="10" t="s">
        <v>165</v>
      </c>
      <c r="F26" s="32">
        <v>2.4</v>
      </c>
      <c r="H26" s="32">
        <f>ROUND(F26*AE26,2)</f>
        <v>0</v>
      </c>
      <c r="I26" s="32">
        <f>J26-H26</f>
        <v>0</v>
      </c>
      <c r="J26" s="32">
        <f>ROUND(F26*G26,2)</f>
        <v>0</v>
      </c>
      <c r="K26" s="32">
        <v>1E-05</v>
      </c>
      <c r="L26" s="32">
        <f>F26*K26</f>
        <v>2.4E-05</v>
      </c>
      <c r="N26" s="53" t="s">
        <v>7</v>
      </c>
      <c r="O26" s="32">
        <f>IF(N26="5",I26,0)</f>
        <v>0</v>
      </c>
      <c r="Z26" s="32">
        <f>IF(AD26=0,J26,0)</f>
        <v>0</v>
      </c>
      <c r="AA26" s="32">
        <f>IF(AD26=15,J26,0)</f>
        <v>0</v>
      </c>
      <c r="AB26" s="32">
        <f>IF(AD26=21,J26,0)</f>
        <v>0</v>
      </c>
      <c r="AD26" s="55">
        <v>15</v>
      </c>
      <c r="AE26" s="55">
        <f>G26*0.0239858906525573</f>
        <v>0</v>
      </c>
      <c r="AF26" s="55">
        <f>G26*(1-0.0239858906525573)</f>
        <v>0</v>
      </c>
    </row>
    <row r="27" spans="1:32" ht="12.75">
      <c r="A27" s="10" t="s">
        <v>17</v>
      </c>
      <c r="B27" s="10"/>
      <c r="C27" s="10" t="s">
        <v>66</v>
      </c>
      <c r="D27" s="10" t="s">
        <v>121</v>
      </c>
      <c r="E27" s="10" t="s">
        <v>165</v>
      </c>
      <c r="F27" s="32">
        <v>5</v>
      </c>
      <c r="H27" s="32">
        <f>ROUND(F27*AE27,2)</f>
        <v>0</v>
      </c>
      <c r="I27" s="32">
        <f>J27-H27</f>
        <v>0</v>
      </c>
      <c r="J27" s="32">
        <f>ROUND(F27*G27,2)</f>
        <v>0</v>
      </c>
      <c r="K27" s="32">
        <v>0</v>
      </c>
      <c r="L27" s="32">
        <f>F27*K27</f>
        <v>0</v>
      </c>
      <c r="N27" s="53" t="s">
        <v>7</v>
      </c>
      <c r="O27" s="32">
        <f>IF(N27="5",I27,0)</f>
        <v>0</v>
      </c>
      <c r="Z27" s="32">
        <f>IF(AD27=0,J27,0)</f>
        <v>0</v>
      </c>
      <c r="AA27" s="32">
        <f>IF(AD27=15,J27,0)</f>
        <v>0</v>
      </c>
      <c r="AB27" s="32">
        <f>IF(AD27=21,J27,0)</f>
        <v>0</v>
      </c>
      <c r="AD27" s="55">
        <v>15</v>
      </c>
      <c r="AE27" s="55">
        <f>G27*0</f>
        <v>0</v>
      </c>
      <c r="AF27" s="55">
        <f>G27*(1-0)</f>
        <v>0</v>
      </c>
    </row>
    <row r="28" spans="1:37" ht="12.75">
      <c r="A28" s="11"/>
      <c r="B28" s="11"/>
      <c r="C28" s="22" t="s">
        <v>67</v>
      </c>
      <c r="D28" s="27" t="s">
        <v>122</v>
      </c>
      <c r="E28" s="30"/>
      <c r="F28" s="30"/>
      <c r="G28" s="30"/>
      <c r="H28" s="57">
        <f>SUM(H29:H34)</f>
        <v>0</v>
      </c>
      <c r="I28" s="57">
        <f>SUM(I29:I34)</f>
        <v>0</v>
      </c>
      <c r="J28" s="57">
        <f>H28+I28</f>
        <v>0</v>
      </c>
      <c r="K28" s="47"/>
      <c r="L28" s="57">
        <f>SUM(L29:L34)</f>
        <v>1.0327338</v>
      </c>
      <c r="P28" s="57">
        <f>IF(Q28="PR",J28,SUM(O29:O34))</f>
        <v>0</v>
      </c>
      <c r="Q28" s="47" t="s">
        <v>189</v>
      </c>
      <c r="R28" s="57">
        <f>IF(Q28="HS",H28,0)</f>
        <v>0</v>
      </c>
      <c r="S28" s="57">
        <f>IF(Q28="HS",I28-P28,0)</f>
        <v>0</v>
      </c>
      <c r="T28" s="57">
        <f>IF(Q28="PS",H28,0)</f>
        <v>0</v>
      </c>
      <c r="U28" s="57">
        <f>IF(Q28="PS",I28-P28,0)</f>
        <v>0</v>
      </c>
      <c r="V28" s="57">
        <f>IF(Q28="MP",H28,0)</f>
        <v>0</v>
      </c>
      <c r="W28" s="57">
        <f>IF(Q28="MP",I28-P28,0)</f>
        <v>0</v>
      </c>
      <c r="X28" s="57">
        <f>IF(Q28="OM",H28,0)</f>
        <v>0</v>
      </c>
      <c r="Y28" s="47"/>
      <c r="AI28" s="57">
        <f>SUM(Z29:Z34)</f>
        <v>0</v>
      </c>
      <c r="AJ28" s="57">
        <f>SUM(AA29:AA34)</f>
        <v>0</v>
      </c>
      <c r="AK28" s="57">
        <f>SUM(AB29:AB34)</f>
        <v>0</v>
      </c>
    </row>
    <row r="29" spans="1:32" ht="12.75">
      <c r="A29" s="10" t="s">
        <v>18</v>
      </c>
      <c r="B29" s="10"/>
      <c r="C29" s="10" t="s">
        <v>68</v>
      </c>
      <c r="D29" s="10" t="s">
        <v>123</v>
      </c>
      <c r="E29" s="10" t="s">
        <v>164</v>
      </c>
      <c r="F29" s="32">
        <v>8.82</v>
      </c>
      <c r="H29" s="32">
        <f aca="true" t="shared" si="0" ref="H29:H34">ROUND(F29*AE29,2)</f>
        <v>0</v>
      </c>
      <c r="I29" s="32">
        <f aca="true" t="shared" si="1" ref="I29:I34">J29-H29</f>
        <v>0</v>
      </c>
      <c r="J29" s="32">
        <f aca="true" t="shared" si="2" ref="J29:J34">ROUND(F29*G29,2)</f>
        <v>0</v>
      </c>
      <c r="K29" s="32">
        <v>0.065</v>
      </c>
      <c r="L29" s="32">
        <f aca="true" t="shared" si="3" ref="L29:L34">F29*K29</f>
        <v>0.5733</v>
      </c>
      <c r="N29" s="53" t="s">
        <v>9</v>
      </c>
      <c r="O29" s="32">
        <f aca="true" t="shared" si="4" ref="O29:O34">IF(N29="5",I29,0)</f>
        <v>0</v>
      </c>
      <c r="Z29" s="32">
        <f aca="true" t="shared" si="5" ref="Z29:Z34">IF(AD29=0,J29,0)</f>
        <v>0</v>
      </c>
      <c r="AA29" s="32">
        <f aca="true" t="shared" si="6" ref="AA29:AA34">IF(AD29=15,J29,0)</f>
        <v>0</v>
      </c>
      <c r="AB29" s="32">
        <f aca="true" t="shared" si="7" ref="AB29:AB34">IF(AD29=21,J29,0)</f>
        <v>0</v>
      </c>
      <c r="AD29" s="55">
        <v>15</v>
      </c>
      <c r="AE29" s="55">
        <f>G29*0</f>
        <v>0</v>
      </c>
      <c r="AF29" s="55">
        <f>G29*(1-0)</f>
        <v>0</v>
      </c>
    </row>
    <row r="30" spans="1:32" ht="12.75">
      <c r="A30" s="10" t="s">
        <v>19</v>
      </c>
      <c r="B30" s="10"/>
      <c r="C30" s="10" t="s">
        <v>69</v>
      </c>
      <c r="D30" s="10" t="s">
        <v>124</v>
      </c>
      <c r="E30" s="10" t="s">
        <v>164</v>
      </c>
      <c r="F30" s="32">
        <v>8.82</v>
      </c>
      <c r="H30" s="32">
        <f t="shared" si="0"/>
        <v>0</v>
      </c>
      <c r="I30" s="32">
        <f t="shared" si="1"/>
        <v>0</v>
      </c>
      <c r="J30" s="32">
        <f t="shared" si="2"/>
        <v>0</v>
      </c>
      <c r="K30" s="32">
        <v>0</v>
      </c>
      <c r="L30" s="32">
        <f t="shared" si="3"/>
        <v>0</v>
      </c>
      <c r="N30" s="53" t="s">
        <v>7</v>
      </c>
      <c r="O30" s="32">
        <f t="shared" si="4"/>
        <v>0</v>
      </c>
      <c r="Z30" s="32">
        <f t="shared" si="5"/>
        <v>0</v>
      </c>
      <c r="AA30" s="32">
        <f t="shared" si="6"/>
        <v>0</v>
      </c>
      <c r="AB30" s="32">
        <f t="shared" si="7"/>
        <v>0</v>
      </c>
      <c r="AD30" s="55">
        <v>15</v>
      </c>
      <c r="AE30" s="55">
        <f>G30*0</f>
        <v>0</v>
      </c>
      <c r="AF30" s="55">
        <f>G30*(1-0)</f>
        <v>0</v>
      </c>
    </row>
    <row r="31" spans="1:32" ht="12.75">
      <c r="A31" s="10" t="s">
        <v>20</v>
      </c>
      <c r="B31" s="10"/>
      <c r="C31" s="10" t="s">
        <v>70</v>
      </c>
      <c r="D31" s="10" t="s">
        <v>125</v>
      </c>
      <c r="E31" s="10" t="s">
        <v>164</v>
      </c>
      <c r="F31" s="32">
        <v>8.82</v>
      </c>
      <c r="H31" s="32">
        <f t="shared" si="0"/>
        <v>0</v>
      </c>
      <c r="I31" s="32">
        <f t="shared" si="1"/>
        <v>0</v>
      </c>
      <c r="J31" s="32">
        <f t="shared" si="2"/>
        <v>0</v>
      </c>
      <c r="K31" s="32">
        <v>0.05089</v>
      </c>
      <c r="L31" s="32">
        <f t="shared" si="3"/>
        <v>0.4488498</v>
      </c>
      <c r="N31" s="53" t="s">
        <v>7</v>
      </c>
      <c r="O31" s="32">
        <f t="shared" si="4"/>
        <v>0</v>
      </c>
      <c r="Z31" s="32">
        <f t="shared" si="5"/>
        <v>0</v>
      </c>
      <c r="AA31" s="32">
        <f t="shared" si="6"/>
        <v>0</v>
      </c>
      <c r="AB31" s="32">
        <f t="shared" si="7"/>
        <v>0</v>
      </c>
      <c r="AD31" s="55">
        <v>15</v>
      </c>
      <c r="AE31" s="55">
        <f>G31*0.171764223355013</f>
        <v>0</v>
      </c>
      <c r="AF31" s="55">
        <f>G31*(1-0.171764223355013)</f>
        <v>0</v>
      </c>
    </row>
    <row r="32" spans="1:32" ht="12.75">
      <c r="A32" s="10" t="s">
        <v>21</v>
      </c>
      <c r="B32" s="10"/>
      <c r="C32" s="10" t="s">
        <v>71</v>
      </c>
      <c r="D32" s="10" t="s">
        <v>126</v>
      </c>
      <c r="E32" s="10" t="s">
        <v>164</v>
      </c>
      <c r="F32" s="32">
        <v>8.82</v>
      </c>
      <c r="H32" s="32">
        <f t="shared" si="0"/>
        <v>0</v>
      </c>
      <c r="I32" s="32">
        <f t="shared" si="1"/>
        <v>0</v>
      </c>
      <c r="J32" s="32">
        <f t="shared" si="2"/>
        <v>0</v>
      </c>
      <c r="K32" s="32">
        <v>0</v>
      </c>
      <c r="L32" s="32">
        <f t="shared" si="3"/>
        <v>0</v>
      </c>
      <c r="N32" s="53" t="s">
        <v>7</v>
      </c>
      <c r="O32" s="32">
        <f t="shared" si="4"/>
        <v>0</v>
      </c>
      <c r="Z32" s="32">
        <f t="shared" si="5"/>
        <v>0</v>
      </c>
      <c r="AA32" s="32">
        <f t="shared" si="6"/>
        <v>0</v>
      </c>
      <c r="AB32" s="32">
        <f t="shared" si="7"/>
        <v>0</v>
      </c>
      <c r="AD32" s="55">
        <v>15</v>
      </c>
      <c r="AE32" s="55">
        <f>G32*0</f>
        <v>0</v>
      </c>
      <c r="AF32" s="55">
        <f>G32*(1-0)</f>
        <v>0</v>
      </c>
    </row>
    <row r="33" spans="1:32" ht="12.75">
      <c r="A33" s="10" t="s">
        <v>22</v>
      </c>
      <c r="B33" s="10"/>
      <c r="C33" s="10" t="s">
        <v>72</v>
      </c>
      <c r="D33" s="10" t="s">
        <v>127</v>
      </c>
      <c r="E33" s="10" t="s">
        <v>164</v>
      </c>
      <c r="F33" s="32">
        <v>8.82</v>
      </c>
      <c r="H33" s="32">
        <f t="shared" si="0"/>
        <v>0</v>
      </c>
      <c r="I33" s="32">
        <f t="shared" si="1"/>
        <v>0</v>
      </c>
      <c r="J33" s="32">
        <f t="shared" si="2"/>
        <v>0</v>
      </c>
      <c r="K33" s="32">
        <v>0</v>
      </c>
      <c r="L33" s="32">
        <f t="shared" si="3"/>
        <v>0</v>
      </c>
      <c r="N33" s="53" t="s">
        <v>7</v>
      </c>
      <c r="O33" s="32">
        <f t="shared" si="4"/>
        <v>0</v>
      </c>
      <c r="Z33" s="32">
        <f t="shared" si="5"/>
        <v>0</v>
      </c>
      <c r="AA33" s="32">
        <f t="shared" si="6"/>
        <v>0</v>
      </c>
      <c r="AB33" s="32">
        <f t="shared" si="7"/>
        <v>0</v>
      </c>
      <c r="AD33" s="55">
        <v>15</v>
      </c>
      <c r="AE33" s="55">
        <f>G33*0</f>
        <v>0</v>
      </c>
      <c r="AF33" s="55">
        <f>G33*(1-0)</f>
        <v>0</v>
      </c>
    </row>
    <row r="34" spans="1:32" ht="12.75">
      <c r="A34" s="10" t="s">
        <v>23</v>
      </c>
      <c r="B34" s="10"/>
      <c r="C34" s="10" t="s">
        <v>73</v>
      </c>
      <c r="D34" s="10" t="s">
        <v>128</v>
      </c>
      <c r="E34" s="10" t="s">
        <v>164</v>
      </c>
      <c r="F34" s="32">
        <v>8.82</v>
      </c>
      <c r="H34" s="32">
        <f t="shared" si="0"/>
        <v>0</v>
      </c>
      <c r="I34" s="32">
        <f t="shared" si="1"/>
        <v>0</v>
      </c>
      <c r="J34" s="32">
        <f t="shared" si="2"/>
        <v>0</v>
      </c>
      <c r="K34" s="32">
        <v>0.0012</v>
      </c>
      <c r="L34" s="32">
        <f t="shared" si="3"/>
        <v>0.010584</v>
      </c>
      <c r="N34" s="53" t="s">
        <v>7</v>
      </c>
      <c r="O34" s="32">
        <f t="shared" si="4"/>
        <v>0</v>
      </c>
      <c r="Z34" s="32">
        <f t="shared" si="5"/>
        <v>0</v>
      </c>
      <c r="AA34" s="32">
        <f t="shared" si="6"/>
        <v>0</v>
      </c>
      <c r="AB34" s="32">
        <f t="shared" si="7"/>
        <v>0</v>
      </c>
      <c r="AD34" s="55">
        <v>15</v>
      </c>
      <c r="AE34" s="55">
        <f>G34*1</f>
        <v>0</v>
      </c>
      <c r="AF34" s="55">
        <f>G34*(1-1)</f>
        <v>0</v>
      </c>
    </row>
    <row r="35" spans="1:37" ht="12.75">
      <c r="A35" s="11"/>
      <c r="B35" s="11"/>
      <c r="C35" s="22" t="s">
        <v>74</v>
      </c>
      <c r="D35" s="27" t="s">
        <v>129</v>
      </c>
      <c r="E35" s="30"/>
      <c r="F35" s="30"/>
      <c r="G35" s="30"/>
      <c r="H35" s="57">
        <f>SUM(H36:H41)</f>
        <v>0</v>
      </c>
      <c r="I35" s="57">
        <f>SUM(I36:I41)</f>
        <v>0</v>
      </c>
      <c r="J35" s="57">
        <f>H35+I35</f>
        <v>0</v>
      </c>
      <c r="K35" s="47"/>
      <c r="L35" s="57">
        <f>SUM(L36:L41)</f>
        <v>2.714391</v>
      </c>
      <c r="P35" s="57">
        <f>IF(Q35="PR",J35,SUM(O36:O41))</f>
        <v>0</v>
      </c>
      <c r="Q35" s="47" t="s">
        <v>189</v>
      </c>
      <c r="R35" s="57">
        <f>IF(Q35="HS",H35,0)</f>
        <v>0</v>
      </c>
      <c r="S35" s="57">
        <f>IF(Q35="HS",I35-P35,0)</f>
        <v>0</v>
      </c>
      <c r="T35" s="57">
        <f>IF(Q35="PS",H35,0)</f>
        <v>0</v>
      </c>
      <c r="U35" s="57">
        <f>IF(Q35="PS",I35-P35,0)</f>
        <v>0</v>
      </c>
      <c r="V35" s="57">
        <f>IF(Q35="MP",H35,0)</f>
        <v>0</v>
      </c>
      <c r="W35" s="57">
        <f>IF(Q35="MP",I35-P35,0)</f>
        <v>0</v>
      </c>
      <c r="X35" s="57">
        <f>IF(Q35="OM",H35,0)</f>
        <v>0</v>
      </c>
      <c r="Y35" s="47"/>
      <c r="AI35" s="57">
        <f>SUM(Z36:Z41)</f>
        <v>0</v>
      </c>
      <c r="AJ35" s="57">
        <f>SUM(AA36:AA41)</f>
        <v>0</v>
      </c>
      <c r="AK35" s="57">
        <f>SUM(AB36:AB41)</f>
        <v>0</v>
      </c>
    </row>
    <row r="36" spans="1:32" ht="12.75">
      <c r="A36" s="10" t="s">
        <v>24</v>
      </c>
      <c r="B36" s="10"/>
      <c r="C36" s="10" t="s">
        <v>75</v>
      </c>
      <c r="D36" s="10" t="s">
        <v>130</v>
      </c>
      <c r="E36" s="10" t="s">
        <v>164</v>
      </c>
      <c r="F36" s="32">
        <v>37.26</v>
      </c>
      <c r="H36" s="32">
        <f aca="true" t="shared" si="8" ref="H36:H41">ROUND(F36*AE36,2)</f>
        <v>0</v>
      </c>
      <c r="I36" s="32">
        <f aca="true" t="shared" si="9" ref="I36:I41">J36-H36</f>
        <v>0</v>
      </c>
      <c r="J36" s="32">
        <f aca="true" t="shared" si="10" ref="J36:J41">ROUND(F36*G36,2)</f>
        <v>0</v>
      </c>
      <c r="K36" s="32">
        <v>0.068</v>
      </c>
      <c r="L36" s="32">
        <f aca="true" t="shared" si="11" ref="L36:L41">F36*K36</f>
        <v>2.53368</v>
      </c>
      <c r="N36" s="53" t="s">
        <v>9</v>
      </c>
      <c r="O36" s="32">
        <f aca="true" t="shared" si="12" ref="O36:O41">IF(N36="5",I36,0)</f>
        <v>0</v>
      </c>
      <c r="Z36" s="32">
        <f aca="true" t="shared" si="13" ref="Z36:Z41">IF(AD36=0,J36,0)</f>
        <v>0</v>
      </c>
      <c r="AA36" s="32">
        <f aca="true" t="shared" si="14" ref="AA36:AA41">IF(AD36=15,J36,0)</f>
        <v>0</v>
      </c>
      <c r="AB36" s="32">
        <f aca="true" t="shared" si="15" ref="AB36:AB41">IF(AD36=21,J36,0)</f>
        <v>0</v>
      </c>
      <c r="AD36" s="55">
        <v>15</v>
      </c>
      <c r="AE36" s="55">
        <f>G36*0</f>
        <v>0</v>
      </c>
      <c r="AF36" s="55">
        <f>G36*(1-0)</f>
        <v>0</v>
      </c>
    </row>
    <row r="37" spans="1:32" ht="12.75">
      <c r="A37" s="10" t="s">
        <v>25</v>
      </c>
      <c r="B37" s="10"/>
      <c r="C37" s="10" t="s">
        <v>76</v>
      </c>
      <c r="D37" s="10" t="s">
        <v>131</v>
      </c>
      <c r="E37" s="10" t="s">
        <v>164</v>
      </c>
      <c r="F37" s="32">
        <v>37.26</v>
      </c>
      <c r="H37" s="32">
        <f t="shared" si="8"/>
        <v>0</v>
      </c>
      <c r="I37" s="32">
        <f t="shared" si="9"/>
        <v>0</v>
      </c>
      <c r="J37" s="32">
        <f t="shared" si="10"/>
        <v>0</v>
      </c>
      <c r="K37" s="32">
        <v>0</v>
      </c>
      <c r="L37" s="32">
        <f t="shared" si="11"/>
        <v>0</v>
      </c>
      <c r="N37" s="53" t="s">
        <v>7</v>
      </c>
      <c r="O37" s="32">
        <f t="shared" si="12"/>
        <v>0</v>
      </c>
      <c r="Z37" s="32">
        <f t="shared" si="13"/>
        <v>0</v>
      </c>
      <c r="AA37" s="32">
        <f t="shared" si="14"/>
        <v>0</v>
      </c>
      <c r="AB37" s="32">
        <f t="shared" si="15"/>
        <v>0</v>
      </c>
      <c r="AD37" s="55">
        <v>15</v>
      </c>
      <c r="AE37" s="55">
        <f>G37*0</f>
        <v>0</v>
      </c>
      <c r="AF37" s="55">
        <f>G37*(1-0)</f>
        <v>0</v>
      </c>
    </row>
    <row r="38" spans="1:32" ht="12.75">
      <c r="A38" s="10" t="s">
        <v>26</v>
      </c>
      <c r="B38" s="10"/>
      <c r="C38" s="10" t="s">
        <v>77</v>
      </c>
      <c r="D38" s="10" t="s">
        <v>132</v>
      </c>
      <c r="E38" s="10" t="s">
        <v>164</v>
      </c>
      <c r="F38" s="32">
        <v>37.26</v>
      </c>
      <c r="H38" s="32">
        <f t="shared" si="8"/>
        <v>0</v>
      </c>
      <c r="I38" s="32">
        <f t="shared" si="9"/>
        <v>0</v>
      </c>
      <c r="J38" s="32">
        <f t="shared" si="10"/>
        <v>0</v>
      </c>
      <c r="K38" s="32">
        <v>0.00445</v>
      </c>
      <c r="L38" s="32">
        <f t="shared" si="11"/>
        <v>0.16580699999999998</v>
      </c>
      <c r="N38" s="53" t="s">
        <v>7</v>
      </c>
      <c r="O38" s="32">
        <f t="shared" si="12"/>
        <v>0</v>
      </c>
      <c r="Z38" s="32">
        <f t="shared" si="13"/>
        <v>0</v>
      </c>
      <c r="AA38" s="32">
        <f t="shared" si="14"/>
        <v>0</v>
      </c>
      <c r="AB38" s="32">
        <f t="shared" si="15"/>
        <v>0</v>
      </c>
      <c r="AD38" s="55">
        <v>15</v>
      </c>
      <c r="AE38" s="55">
        <f>G38*0.16017782567695</f>
        <v>0</v>
      </c>
      <c r="AF38" s="55">
        <f>G38*(1-0.16017782567695)</f>
        <v>0</v>
      </c>
    </row>
    <row r="39" spans="1:32" ht="12.75">
      <c r="A39" s="10" t="s">
        <v>27</v>
      </c>
      <c r="B39" s="10"/>
      <c r="C39" s="10" t="s">
        <v>78</v>
      </c>
      <c r="D39" s="10" t="s">
        <v>128</v>
      </c>
      <c r="E39" s="10" t="s">
        <v>164</v>
      </c>
      <c r="F39" s="32">
        <v>37.26</v>
      </c>
      <c r="H39" s="32">
        <f t="shared" si="8"/>
        <v>0</v>
      </c>
      <c r="I39" s="32">
        <f t="shared" si="9"/>
        <v>0</v>
      </c>
      <c r="J39" s="32">
        <f t="shared" si="10"/>
        <v>0</v>
      </c>
      <c r="K39" s="32">
        <v>0.0004</v>
      </c>
      <c r="L39" s="32">
        <f t="shared" si="11"/>
        <v>0.014904</v>
      </c>
      <c r="N39" s="53" t="s">
        <v>7</v>
      </c>
      <c r="O39" s="32">
        <f t="shared" si="12"/>
        <v>0</v>
      </c>
      <c r="Z39" s="32">
        <f t="shared" si="13"/>
        <v>0</v>
      </c>
      <c r="AA39" s="32">
        <f t="shared" si="14"/>
        <v>0</v>
      </c>
      <c r="AB39" s="32">
        <f t="shared" si="15"/>
        <v>0</v>
      </c>
      <c r="AD39" s="55">
        <v>15</v>
      </c>
      <c r="AE39" s="55">
        <f>G39*1</f>
        <v>0</v>
      </c>
      <c r="AF39" s="55">
        <f>G39*(1-1)</f>
        <v>0</v>
      </c>
    </row>
    <row r="40" spans="1:32" ht="12.75">
      <c r="A40" s="10" t="s">
        <v>28</v>
      </c>
      <c r="B40" s="10"/>
      <c r="C40" s="10" t="s">
        <v>79</v>
      </c>
      <c r="D40" s="10" t="s">
        <v>133</v>
      </c>
      <c r="E40" s="10" t="s">
        <v>164</v>
      </c>
      <c r="F40" s="32">
        <v>37.26</v>
      </c>
      <c r="H40" s="32">
        <f t="shared" si="8"/>
        <v>0</v>
      </c>
      <c r="I40" s="32">
        <f t="shared" si="9"/>
        <v>0</v>
      </c>
      <c r="J40" s="32">
        <f t="shared" si="10"/>
        <v>0</v>
      </c>
      <c r="K40" s="32">
        <v>0</v>
      </c>
      <c r="L40" s="32">
        <f t="shared" si="11"/>
        <v>0</v>
      </c>
      <c r="N40" s="53" t="s">
        <v>7</v>
      </c>
      <c r="O40" s="32">
        <f t="shared" si="12"/>
        <v>0</v>
      </c>
      <c r="Z40" s="32">
        <f t="shared" si="13"/>
        <v>0</v>
      </c>
      <c r="AA40" s="32">
        <f t="shared" si="14"/>
        <v>0</v>
      </c>
      <c r="AB40" s="32">
        <f t="shared" si="15"/>
        <v>0</v>
      </c>
      <c r="AD40" s="55">
        <v>15</v>
      </c>
      <c r="AE40" s="55">
        <f>G40*0</f>
        <v>0</v>
      </c>
      <c r="AF40" s="55">
        <f>G40*(1-0)</f>
        <v>0</v>
      </c>
    </row>
    <row r="41" spans="1:32" ht="12.75">
      <c r="A41" s="10" t="s">
        <v>29</v>
      </c>
      <c r="B41" s="10"/>
      <c r="C41" s="10" t="s">
        <v>80</v>
      </c>
      <c r="D41" s="10" t="s">
        <v>134</v>
      </c>
      <c r="E41" s="10" t="s">
        <v>163</v>
      </c>
      <c r="F41" s="32">
        <v>52</v>
      </c>
      <c r="H41" s="32">
        <f t="shared" si="8"/>
        <v>0</v>
      </c>
      <c r="I41" s="32">
        <f t="shared" si="9"/>
        <v>0</v>
      </c>
      <c r="J41" s="32">
        <f t="shared" si="10"/>
        <v>0</v>
      </c>
      <c r="K41" s="32">
        <v>0</v>
      </c>
      <c r="L41" s="32">
        <f t="shared" si="11"/>
        <v>0</v>
      </c>
      <c r="N41" s="53" t="s">
        <v>7</v>
      </c>
      <c r="O41" s="32">
        <f t="shared" si="12"/>
        <v>0</v>
      </c>
      <c r="Z41" s="32">
        <f t="shared" si="13"/>
        <v>0</v>
      </c>
      <c r="AA41" s="32">
        <f t="shared" si="14"/>
        <v>0</v>
      </c>
      <c r="AB41" s="32">
        <f t="shared" si="15"/>
        <v>0</v>
      </c>
      <c r="AD41" s="55">
        <v>15</v>
      </c>
      <c r="AE41" s="55">
        <f>G41*0</f>
        <v>0</v>
      </c>
      <c r="AF41" s="55">
        <f>G41*(1-0)</f>
        <v>0</v>
      </c>
    </row>
    <row r="42" spans="1:37" ht="12.75">
      <c r="A42" s="11"/>
      <c r="B42" s="11"/>
      <c r="C42" s="22" t="s">
        <v>81</v>
      </c>
      <c r="D42" s="27" t="s">
        <v>135</v>
      </c>
      <c r="E42" s="30"/>
      <c r="F42" s="30"/>
      <c r="G42" s="30"/>
      <c r="H42" s="57">
        <f>SUM(H43:H46)</f>
        <v>0</v>
      </c>
      <c r="I42" s="57">
        <f>SUM(I43:I46)</f>
        <v>0</v>
      </c>
      <c r="J42" s="57">
        <f>H42+I42</f>
        <v>0</v>
      </c>
      <c r="K42" s="47"/>
      <c r="L42" s="57">
        <f>SUM(L43:L46)</f>
        <v>0.020736</v>
      </c>
      <c r="P42" s="57">
        <f>IF(Q42="PR",J42,SUM(O43:O46))</f>
        <v>0</v>
      </c>
      <c r="Q42" s="47" t="s">
        <v>189</v>
      </c>
      <c r="R42" s="57">
        <f>IF(Q42="HS",H42,0)</f>
        <v>0</v>
      </c>
      <c r="S42" s="57">
        <f>IF(Q42="HS",I42-P42,0)</f>
        <v>0</v>
      </c>
      <c r="T42" s="57">
        <f>IF(Q42="PS",H42,0)</f>
        <v>0</v>
      </c>
      <c r="U42" s="57">
        <f>IF(Q42="PS",I42-P42,0)</f>
        <v>0</v>
      </c>
      <c r="V42" s="57">
        <f>IF(Q42="MP",H42,0)</f>
        <v>0</v>
      </c>
      <c r="W42" s="57">
        <f>IF(Q42="MP",I42-P42,0)</f>
        <v>0</v>
      </c>
      <c r="X42" s="57">
        <f>IF(Q42="OM",H42,0)</f>
        <v>0</v>
      </c>
      <c r="Y42" s="47"/>
      <c r="AI42" s="57">
        <f>SUM(Z43:Z46)</f>
        <v>0</v>
      </c>
      <c r="AJ42" s="57">
        <f>SUM(AA43:AA46)</f>
        <v>0</v>
      </c>
      <c r="AK42" s="57">
        <f>SUM(AB43:AB46)</f>
        <v>0</v>
      </c>
    </row>
    <row r="43" spans="1:32" ht="12.75">
      <c r="A43" s="10" t="s">
        <v>30</v>
      </c>
      <c r="B43" s="10"/>
      <c r="C43" s="10" t="s">
        <v>82</v>
      </c>
      <c r="D43" s="10" t="s">
        <v>136</v>
      </c>
      <c r="E43" s="10" t="s">
        <v>164</v>
      </c>
      <c r="F43" s="32">
        <v>32.4</v>
      </c>
      <c r="H43" s="32">
        <f>ROUND(F43*AE43,2)</f>
        <v>0</v>
      </c>
      <c r="I43" s="32">
        <f>J43-H43</f>
        <v>0</v>
      </c>
      <c r="J43" s="32">
        <f>ROUND(F43*G43,2)</f>
        <v>0</v>
      </c>
      <c r="K43" s="32">
        <v>0.00046</v>
      </c>
      <c r="L43" s="32">
        <f>F43*K43</f>
        <v>0.014904</v>
      </c>
      <c r="N43" s="53" t="s">
        <v>7</v>
      </c>
      <c r="O43" s="32">
        <f>IF(N43="5",I43,0)</f>
        <v>0</v>
      </c>
      <c r="Z43" s="32">
        <f>IF(AD43=0,J43,0)</f>
        <v>0</v>
      </c>
      <c r="AA43" s="32">
        <f>IF(AD43=15,J43,0)</f>
        <v>0</v>
      </c>
      <c r="AB43" s="32">
        <f>IF(AD43=21,J43,0)</f>
        <v>0</v>
      </c>
      <c r="AD43" s="55">
        <v>15</v>
      </c>
      <c r="AE43" s="55">
        <f>G43*0.421334352896196</f>
        <v>0</v>
      </c>
      <c r="AF43" s="55">
        <f>G43*(1-0.421334352896196)</f>
        <v>0</v>
      </c>
    </row>
    <row r="44" spans="1:32" ht="12.75">
      <c r="A44" s="10" t="s">
        <v>31</v>
      </c>
      <c r="B44" s="10"/>
      <c r="C44" s="10" t="s">
        <v>83</v>
      </c>
      <c r="D44" s="10" t="s">
        <v>137</v>
      </c>
      <c r="E44" s="10" t="s">
        <v>164</v>
      </c>
      <c r="F44" s="32">
        <v>32.4</v>
      </c>
      <c r="H44" s="32">
        <f>ROUND(F44*AE44,2)</f>
        <v>0</v>
      </c>
      <c r="I44" s="32">
        <f>J44-H44</f>
        <v>0</v>
      </c>
      <c r="J44" s="32">
        <f>ROUND(F44*G44,2)</f>
        <v>0</v>
      </c>
      <c r="K44" s="32">
        <v>0.00018</v>
      </c>
      <c r="L44" s="32">
        <f>F44*K44</f>
        <v>0.005832</v>
      </c>
      <c r="N44" s="53" t="s">
        <v>7</v>
      </c>
      <c r="O44" s="32">
        <f>IF(N44="5",I44,0)</f>
        <v>0</v>
      </c>
      <c r="Z44" s="32">
        <f>IF(AD44=0,J44,0)</f>
        <v>0</v>
      </c>
      <c r="AA44" s="32">
        <f>IF(AD44=15,J44,0)</f>
        <v>0</v>
      </c>
      <c r="AB44" s="32">
        <f>IF(AD44=21,J44,0)</f>
        <v>0</v>
      </c>
      <c r="AD44" s="55">
        <v>15</v>
      </c>
      <c r="AE44" s="55">
        <f>G44*0.47354064375341</f>
        <v>0</v>
      </c>
      <c r="AF44" s="55">
        <f>G44*(1-0.47354064375341)</f>
        <v>0</v>
      </c>
    </row>
    <row r="45" spans="1:32" ht="12.75">
      <c r="A45" s="10" t="s">
        <v>32</v>
      </c>
      <c r="B45" s="10"/>
      <c r="C45" s="10" t="s">
        <v>84</v>
      </c>
      <c r="D45" s="10" t="s">
        <v>138</v>
      </c>
      <c r="E45" s="10" t="s">
        <v>164</v>
      </c>
      <c r="F45" s="32">
        <v>32.4</v>
      </c>
      <c r="H45" s="32">
        <f>ROUND(F45*AE45,2)</f>
        <v>0</v>
      </c>
      <c r="I45" s="32">
        <f>J45-H45</f>
        <v>0</v>
      </c>
      <c r="J45" s="32">
        <f>ROUND(F45*G45,2)</f>
        <v>0</v>
      </c>
      <c r="K45" s="32">
        <v>0</v>
      </c>
      <c r="L45" s="32">
        <f>F45*K45</f>
        <v>0</v>
      </c>
      <c r="N45" s="53" t="s">
        <v>7</v>
      </c>
      <c r="O45" s="32">
        <f>IF(N45="5",I45,0)</f>
        <v>0</v>
      </c>
      <c r="Z45" s="32">
        <f>IF(AD45=0,J45,0)</f>
        <v>0</v>
      </c>
      <c r="AA45" s="32">
        <f>IF(AD45=15,J45,0)</f>
        <v>0</v>
      </c>
      <c r="AB45" s="32">
        <f>IF(AD45=21,J45,0)</f>
        <v>0</v>
      </c>
      <c r="AD45" s="55">
        <v>15</v>
      </c>
      <c r="AE45" s="55">
        <f>G45*0.00619195046439629</f>
        <v>0</v>
      </c>
      <c r="AF45" s="55">
        <f>G45*(1-0.00619195046439629)</f>
        <v>0</v>
      </c>
    </row>
    <row r="46" spans="1:32" ht="12.75">
      <c r="A46" s="10" t="s">
        <v>33</v>
      </c>
      <c r="B46" s="10"/>
      <c r="C46" s="10" t="s">
        <v>85</v>
      </c>
      <c r="D46" s="10" t="s">
        <v>139</v>
      </c>
      <c r="E46" s="10" t="s">
        <v>167</v>
      </c>
      <c r="F46" s="32">
        <v>5</v>
      </c>
      <c r="H46" s="32">
        <f>ROUND(F46*AE46,2)</f>
        <v>0</v>
      </c>
      <c r="I46" s="32">
        <f>J46-H46</f>
        <v>0</v>
      </c>
      <c r="J46" s="32">
        <f>ROUND(F46*G46,2)</f>
        <v>0</v>
      </c>
      <c r="K46" s="32">
        <v>0</v>
      </c>
      <c r="L46" s="32">
        <f>F46*K46</f>
        <v>0</v>
      </c>
      <c r="N46" s="53" t="s">
        <v>7</v>
      </c>
      <c r="O46" s="32">
        <f>IF(N46="5",I46,0)</f>
        <v>0</v>
      </c>
      <c r="Z46" s="32">
        <f>IF(AD46=0,J46,0)</f>
        <v>0</v>
      </c>
      <c r="AA46" s="32">
        <f>IF(AD46=15,J46,0)</f>
        <v>0</v>
      </c>
      <c r="AB46" s="32">
        <f>IF(AD46=21,J46,0)</f>
        <v>0</v>
      </c>
      <c r="AD46" s="55">
        <v>15</v>
      </c>
      <c r="AE46" s="55">
        <f>G46*0</f>
        <v>0</v>
      </c>
      <c r="AF46" s="55">
        <f>G46*(1-0)</f>
        <v>0</v>
      </c>
    </row>
    <row r="47" spans="1:37" ht="12.75">
      <c r="A47" s="11"/>
      <c r="B47" s="11"/>
      <c r="C47" s="22" t="s">
        <v>86</v>
      </c>
      <c r="D47" s="27" t="s">
        <v>140</v>
      </c>
      <c r="E47" s="30"/>
      <c r="F47" s="30"/>
      <c r="G47" s="30"/>
      <c r="H47" s="57">
        <f>SUM(H48:H50)</f>
        <v>0</v>
      </c>
      <c r="I47" s="57">
        <f>SUM(I48:I50)</f>
        <v>0</v>
      </c>
      <c r="J47" s="57">
        <f>H47+I47</f>
        <v>0</v>
      </c>
      <c r="K47" s="47"/>
      <c r="L47" s="57">
        <f>SUM(L48:L50)</f>
        <v>0.099</v>
      </c>
      <c r="P47" s="57">
        <f>IF(Q47="PR",J47,SUM(O48:O50))</f>
        <v>0</v>
      </c>
      <c r="Q47" s="47" t="s">
        <v>188</v>
      </c>
      <c r="R47" s="57">
        <f>IF(Q47="HS",H47,0)</f>
        <v>0</v>
      </c>
      <c r="S47" s="57">
        <f>IF(Q47="HS",I47-P47,0)</f>
        <v>0</v>
      </c>
      <c r="T47" s="57">
        <f>IF(Q47="PS",H47,0)</f>
        <v>0</v>
      </c>
      <c r="U47" s="57">
        <f>IF(Q47="PS",I47-P47,0)</f>
        <v>0</v>
      </c>
      <c r="V47" s="57">
        <f>IF(Q47="MP",H47,0)</f>
        <v>0</v>
      </c>
      <c r="W47" s="57">
        <f>IF(Q47="MP",I47-P47,0)</f>
        <v>0</v>
      </c>
      <c r="X47" s="57">
        <f>IF(Q47="OM",H47,0)</f>
        <v>0</v>
      </c>
      <c r="Y47" s="47"/>
      <c r="AI47" s="57">
        <f>SUM(Z48:Z50)</f>
        <v>0</v>
      </c>
      <c r="AJ47" s="57">
        <f>SUM(AA48:AA50)</f>
        <v>0</v>
      </c>
      <c r="AK47" s="57">
        <f>SUM(AB48:AB50)</f>
        <v>0</v>
      </c>
    </row>
    <row r="48" spans="1:32" ht="12.75">
      <c r="A48" s="10" t="s">
        <v>34</v>
      </c>
      <c r="B48" s="10"/>
      <c r="C48" s="10" t="s">
        <v>87</v>
      </c>
      <c r="D48" s="10" t="s">
        <v>141</v>
      </c>
      <c r="E48" s="10" t="s">
        <v>164</v>
      </c>
      <c r="F48" s="32">
        <v>1.32</v>
      </c>
      <c r="H48" s="32">
        <f>ROUND(F48*AE48,2)</f>
        <v>0</v>
      </c>
      <c r="I48" s="32">
        <f>J48-H48</f>
        <v>0</v>
      </c>
      <c r="J48" s="32">
        <f>ROUND(F48*G48,2)</f>
        <v>0</v>
      </c>
      <c r="K48" s="32">
        <v>0.075</v>
      </c>
      <c r="L48" s="32">
        <f>F48*K48</f>
        <v>0.099</v>
      </c>
      <c r="N48" s="53" t="s">
        <v>7</v>
      </c>
      <c r="O48" s="32">
        <f>IF(N48="5",I48,0)</f>
        <v>0</v>
      </c>
      <c r="Z48" s="32">
        <f>IF(AD48=0,J48,0)</f>
        <v>0</v>
      </c>
      <c r="AA48" s="32">
        <f>IF(AD48=15,J48,0)</f>
        <v>0</v>
      </c>
      <c r="AB48" s="32">
        <f>IF(AD48=21,J48,0)</f>
        <v>0</v>
      </c>
      <c r="AD48" s="55">
        <v>15</v>
      </c>
      <c r="AE48" s="55">
        <f>G48*0.175380496054115</f>
        <v>0</v>
      </c>
      <c r="AF48" s="55">
        <f>G48*(1-0.175380496054115)</f>
        <v>0</v>
      </c>
    </row>
    <row r="49" spans="1:32" ht="12.75">
      <c r="A49" s="10" t="s">
        <v>35</v>
      </c>
      <c r="B49" s="10"/>
      <c r="C49" s="10" t="s">
        <v>88</v>
      </c>
      <c r="D49" s="10" t="s">
        <v>142</v>
      </c>
      <c r="E49" s="10" t="s">
        <v>165</v>
      </c>
      <c r="F49" s="32">
        <v>5</v>
      </c>
      <c r="H49" s="32">
        <f>ROUND(F49*AE49,2)</f>
        <v>0</v>
      </c>
      <c r="I49" s="32">
        <f>J49-H49</f>
        <v>0</v>
      </c>
      <c r="J49" s="32">
        <f>ROUND(F49*G49,2)</f>
        <v>0</v>
      </c>
      <c r="K49" s="32">
        <v>0</v>
      </c>
      <c r="L49" s="32">
        <f>F49*K49</f>
        <v>0</v>
      </c>
      <c r="N49" s="53" t="s">
        <v>7</v>
      </c>
      <c r="O49" s="32">
        <f>IF(N49="5",I49,0)</f>
        <v>0</v>
      </c>
      <c r="Z49" s="32">
        <f>IF(AD49=0,J49,0)</f>
        <v>0</v>
      </c>
      <c r="AA49" s="32">
        <f>IF(AD49=15,J49,0)</f>
        <v>0</v>
      </c>
      <c r="AB49" s="32">
        <f>IF(AD49=21,J49,0)</f>
        <v>0</v>
      </c>
      <c r="AD49" s="55">
        <v>15</v>
      </c>
      <c r="AE49" s="55">
        <f>G49*0</f>
        <v>0</v>
      </c>
      <c r="AF49" s="55">
        <f>G49*(1-0)</f>
        <v>0</v>
      </c>
    </row>
    <row r="50" spans="1:32" ht="12.75">
      <c r="A50" s="10" t="s">
        <v>36</v>
      </c>
      <c r="B50" s="10"/>
      <c r="C50" s="10" t="s">
        <v>89</v>
      </c>
      <c r="D50" s="10" t="s">
        <v>143</v>
      </c>
      <c r="E50" s="10" t="s">
        <v>168</v>
      </c>
      <c r="F50" s="32">
        <v>4.19067</v>
      </c>
      <c r="H50" s="32">
        <f>ROUND(F50*AE50,2)</f>
        <v>0</v>
      </c>
      <c r="I50" s="32">
        <f>J50-H50</f>
        <v>0</v>
      </c>
      <c r="J50" s="32">
        <f>ROUND(F50*G50,2)</f>
        <v>0</v>
      </c>
      <c r="K50" s="32">
        <v>0</v>
      </c>
      <c r="L50" s="32">
        <f>F50*K50</f>
        <v>0</v>
      </c>
      <c r="N50" s="53" t="s">
        <v>11</v>
      </c>
      <c r="O50" s="32">
        <f>IF(N50="5",I50,0)</f>
        <v>0</v>
      </c>
      <c r="Z50" s="32">
        <f>IF(AD50=0,J50,0)</f>
        <v>0</v>
      </c>
      <c r="AA50" s="32">
        <f>IF(AD50=15,J50,0)</f>
        <v>0</v>
      </c>
      <c r="AB50" s="32">
        <f>IF(AD50=21,J50,0)</f>
        <v>0</v>
      </c>
      <c r="AD50" s="55">
        <v>15</v>
      </c>
      <c r="AE50" s="55">
        <f>G50*0</f>
        <v>0</v>
      </c>
      <c r="AF50" s="55">
        <f>G50*(1-0)</f>
        <v>0</v>
      </c>
    </row>
    <row r="51" spans="1:37" ht="12.75">
      <c r="A51" s="11"/>
      <c r="B51" s="11"/>
      <c r="C51" s="22" t="s">
        <v>90</v>
      </c>
      <c r="D51" s="27" t="s">
        <v>144</v>
      </c>
      <c r="E51" s="30"/>
      <c r="F51" s="30"/>
      <c r="G51" s="30"/>
      <c r="H51" s="57">
        <f>SUM(H52:H52)</f>
        <v>0</v>
      </c>
      <c r="I51" s="57">
        <f>SUM(I52:I52)</f>
        <v>0</v>
      </c>
      <c r="J51" s="57">
        <f>H51+I51</f>
        <v>0</v>
      </c>
      <c r="K51" s="47"/>
      <c r="L51" s="57">
        <f>SUM(L52:L52)</f>
        <v>0</v>
      </c>
      <c r="P51" s="57">
        <f>IF(Q51="PR",J51,SUM(O52:O52))</f>
        <v>0</v>
      </c>
      <c r="Q51" s="47" t="s">
        <v>190</v>
      </c>
      <c r="R51" s="57">
        <f>IF(Q51="HS",H51,0)</f>
        <v>0</v>
      </c>
      <c r="S51" s="57">
        <f>IF(Q51="HS",I51-P51,0)</f>
        <v>0</v>
      </c>
      <c r="T51" s="57">
        <f>IF(Q51="PS",H51,0)</f>
        <v>0</v>
      </c>
      <c r="U51" s="57">
        <f>IF(Q51="PS",I51-P51,0)</f>
        <v>0</v>
      </c>
      <c r="V51" s="57">
        <f>IF(Q51="MP",H51,0)</f>
        <v>0</v>
      </c>
      <c r="W51" s="57">
        <f>IF(Q51="MP",I51-P51,0)</f>
        <v>0</v>
      </c>
      <c r="X51" s="57">
        <f>IF(Q51="OM",H51,0)</f>
        <v>0</v>
      </c>
      <c r="Y51" s="47"/>
      <c r="AI51" s="57">
        <f>SUM(Z52:Z52)</f>
        <v>0</v>
      </c>
      <c r="AJ51" s="57">
        <f>SUM(AA52:AA52)</f>
        <v>0</v>
      </c>
      <c r="AK51" s="57">
        <f>SUM(AB52:AB52)</f>
        <v>0</v>
      </c>
    </row>
    <row r="52" spans="1:32" ht="12.75">
      <c r="A52" s="10" t="s">
        <v>37</v>
      </c>
      <c r="B52" s="10"/>
      <c r="C52" s="10" t="s">
        <v>91</v>
      </c>
      <c r="D52" s="10" t="s">
        <v>145</v>
      </c>
      <c r="E52" s="10" t="s">
        <v>168</v>
      </c>
      <c r="F52" s="32">
        <v>3.107</v>
      </c>
      <c r="H52" s="32">
        <f>ROUND(F52*AE52,2)</f>
        <v>0</v>
      </c>
      <c r="I52" s="32">
        <f>J52-H52</f>
        <v>0</v>
      </c>
      <c r="J52" s="32">
        <f>ROUND(F52*G52,2)</f>
        <v>0</v>
      </c>
      <c r="K52" s="32">
        <v>0</v>
      </c>
      <c r="L52" s="32">
        <f>F52*K52</f>
        <v>0</v>
      </c>
      <c r="N52" s="53" t="s">
        <v>11</v>
      </c>
      <c r="O52" s="32">
        <f>IF(N52="5",I52,0)</f>
        <v>0</v>
      </c>
      <c r="Z52" s="32">
        <f>IF(AD52=0,J52,0)</f>
        <v>0</v>
      </c>
      <c r="AA52" s="32">
        <f>IF(AD52=15,J52,0)</f>
        <v>0</v>
      </c>
      <c r="AB52" s="32">
        <f>IF(AD52=21,J52,0)</f>
        <v>0</v>
      </c>
      <c r="AD52" s="55">
        <v>15</v>
      </c>
      <c r="AE52" s="55">
        <f>G52*0</f>
        <v>0</v>
      </c>
      <c r="AF52" s="55">
        <f>G52*(1-0)</f>
        <v>0</v>
      </c>
    </row>
    <row r="53" spans="1:37" ht="12.75">
      <c r="A53" s="11"/>
      <c r="B53" s="11"/>
      <c r="C53" s="22"/>
      <c r="D53" s="27" t="s">
        <v>146</v>
      </c>
      <c r="E53" s="30"/>
      <c r="F53" s="30"/>
      <c r="G53" s="30"/>
      <c r="H53" s="57">
        <f>SUM(H54:H64)</f>
        <v>0</v>
      </c>
      <c r="I53" s="57">
        <f>SUM(I54:I64)</f>
        <v>0</v>
      </c>
      <c r="J53" s="57">
        <f>H53+I53</f>
        <v>0</v>
      </c>
      <c r="K53" s="47"/>
      <c r="L53" s="57">
        <f>SUM(L54:L64)</f>
        <v>1.0296</v>
      </c>
      <c r="P53" s="57">
        <f>IF(Q53="PR",J53,SUM(O54:O64))</f>
        <v>0</v>
      </c>
      <c r="Q53" s="47" t="s">
        <v>191</v>
      </c>
      <c r="R53" s="57">
        <f>IF(Q53="HS",H53,0)</f>
        <v>0</v>
      </c>
      <c r="S53" s="57">
        <f>IF(Q53="HS",I53-P53,0)</f>
        <v>0</v>
      </c>
      <c r="T53" s="57">
        <f>IF(Q53="PS",H53,0)</f>
        <v>0</v>
      </c>
      <c r="U53" s="57">
        <f>IF(Q53="PS",I53-P53,0)</f>
        <v>0</v>
      </c>
      <c r="V53" s="57">
        <f>IF(Q53="MP",H53,0)</f>
        <v>0</v>
      </c>
      <c r="W53" s="57">
        <f>IF(Q53="MP",I53-P53,0)</f>
        <v>0</v>
      </c>
      <c r="X53" s="57">
        <f>IF(Q53="OM",H53,0)</f>
        <v>0</v>
      </c>
      <c r="Y53" s="47"/>
      <c r="AI53" s="57">
        <f>SUM(Z54:Z64)</f>
        <v>0</v>
      </c>
      <c r="AJ53" s="57">
        <f>SUM(AA54:AA64)</f>
        <v>0</v>
      </c>
      <c r="AK53" s="57">
        <f>SUM(AB54:AB64)</f>
        <v>0</v>
      </c>
    </row>
    <row r="54" spans="1:32" ht="12.75">
      <c r="A54" s="12" t="s">
        <v>38</v>
      </c>
      <c r="B54" s="12"/>
      <c r="C54" s="12" t="s">
        <v>92</v>
      </c>
      <c r="D54" s="12" t="s">
        <v>147</v>
      </c>
      <c r="E54" s="12" t="s">
        <v>163</v>
      </c>
      <c r="F54" s="33">
        <v>55</v>
      </c>
      <c r="H54" s="33">
        <f aca="true" t="shared" si="16" ref="H54:H64">ROUND(F54*AE54,2)</f>
        <v>0</v>
      </c>
      <c r="I54" s="33">
        <f aca="true" t="shared" si="17" ref="I54:I64">J54-H54</f>
        <v>0</v>
      </c>
      <c r="J54" s="33">
        <f aca="true" t="shared" si="18" ref="J54:J64">ROUND(F54*G54,2)</f>
        <v>0</v>
      </c>
      <c r="K54" s="33">
        <v>0.00022</v>
      </c>
      <c r="L54" s="33">
        <f aca="true" t="shared" si="19" ref="L54:L64">F54*K54</f>
        <v>0.0121</v>
      </c>
      <c r="N54" s="54" t="s">
        <v>185</v>
      </c>
      <c r="O54" s="33">
        <f aca="true" t="shared" si="20" ref="O54:O64">IF(N54="5",I54,0)</f>
        <v>0</v>
      </c>
      <c r="Z54" s="33">
        <f aca="true" t="shared" si="21" ref="Z54:Z64">IF(AD54=0,J54,0)</f>
        <v>0</v>
      </c>
      <c r="AA54" s="33">
        <f aca="true" t="shared" si="22" ref="AA54:AA64">IF(AD54=15,J54,0)</f>
        <v>0</v>
      </c>
      <c r="AB54" s="33">
        <f aca="true" t="shared" si="23" ref="AB54:AB64">IF(AD54=21,J54,0)</f>
        <v>0</v>
      </c>
      <c r="AD54" s="55">
        <v>15</v>
      </c>
      <c r="AE54" s="55">
        <f aca="true" t="shared" si="24" ref="AE54:AE64">G54*1</f>
        <v>0</v>
      </c>
      <c r="AF54" s="55">
        <f aca="true" t="shared" si="25" ref="AF54:AF64">G54*(1-1)</f>
        <v>0</v>
      </c>
    </row>
    <row r="55" spans="1:32" ht="12.75">
      <c r="A55" s="12" t="s">
        <v>39</v>
      </c>
      <c r="B55" s="12"/>
      <c r="C55" s="12" t="s">
        <v>93</v>
      </c>
      <c r="D55" s="12" t="s">
        <v>148</v>
      </c>
      <c r="E55" s="12" t="s">
        <v>164</v>
      </c>
      <c r="F55" s="33">
        <v>40</v>
      </c>
      <c r="H55" s="33">
        <f t="shared" si="16"/>
        <v>0</v>
      </c>
      <c r="I55" s="33">
        <f t="shared" si="17"/>
        <v>0</v>
      </c>
      <c r="J55" s="33">
        <f t="shared" si="18"/>
        <v>0</v>
      </c>
      <c r="K55" s="33">
        <v>0.0126</v>
      </c>
      <c r="L55" s="33">
        <f t="shared" si="19"/>
        <v>0.504</v>
      </c>
      <c r="N55" s="54" t="s">
        <v>185</v>
      </c>
      <c r="O55" s="33">
        <f t="shared" si="20"/>
        <v>0</v>
      </c>
      <c r="Z55" s="33">
        <f t="shared" si="21"/>
        <v>0</v>
      </c>
      <c r="AA55" s="33">
        <f t="shared" si="22"/>
        <v>0</v>
      </c>
      <c r="AB55" s="33">
        <f t="shared" si="23"/>
        <v>0</v>
      </c>
      <c r="AD55" s="55">
        <v>15</v>
      </c>
      <c r="AE55" s="55">
        <f t="shared" si="24"/>
        <v>0</v>
      </c>
      <c r="AF55" s="55">
        <f t="shared" si="25"/>
        <v>0</v>
      </c>
    </row>
    <row r="56" spans="1:32" ht="12.75">
      <c r="A56" s="12" t="s">
        <v>40</v>
      </c>
      <c r="B56" s="12"/>
      <c r="C56" s="12" t="s">
        <v>94</v>
      </c>
      <c r="D56" s="12" t="s">
        <v>149</v>
      </c>
      <c r="E56" s="12" t="s">
        <v>169</v>
      </c>
      <c r="F56" s="33">
        <v>10</v>
      </c>
      <c r="H56" s="33">
        <f t="shared" si="16"/>
        <v>0</v>
      </c>
      <c r="I56" s="33">
        <f t="shared" si="17"/>
        <v>0</v>
      </c>
      <c r="J56" s="33">
        <f t="shared" si="18"/>
        <v>0</v>
      </c>
      <c r="K56" s="33">
        <v>0.001</v>
      </c>
      <c r="L56" s="33">
        <f t="shared" si="19"/>
        <v>0.01</v>
      </c>
      <c r="N56" s="54" t="s">
        <v>185</v>
      </c>
      <c r="O56" s="33">
        <f t="shared" si="20"/>
        <v>0</v>
      </c>
      <c r="Z56" s="33">
        <f t="shared" si="21"/>
        <v>0</v>
      </c>
      <c r="AA56" s="33">
        <f t="shared" si="22"/>
        <v>0</v>
      </c>
      <c r="AB56" s="33">
        <f t="shared" si="23"/>
        <v>0</v>
      </c>
      <c r="AD56" s="55">
        <v>15</v>
      </c>
      <c r="AE56" s="55">
        <f t="shared" si="24"/>
        <v>0</v>
      </c>
      <c r="AF56" s="55">
        <f t="shared" si="25"/>
        <v>0</v>
      </c>
    </row>
    <row r="57" spans="1:32" ht="12.75">
      <c r="A57" s="12" t="s">
        <v>41</v>
      </c>
      <c r="B57" s="12"/>
      <c r="C57" s="12" t="s">
        <v>95</v>
      </c>
      <c r="D57" s="12" t="s">
        <v>150</v>
      </c>
      <c r="E57" s="12" t="s">
        <v>164</v>
      </c>
      <c r="F57" s="33">
        <v>10</v>
      </c>
      <c r="H57" s="33">
        <f t="shared" si="16"/>
        <v>0</v>
      </c>
      <c r="I57" s="33">
        <f t="shared" si="17"/>
        <v>0</v>
      </c>
      <c r="J57" s="33">
        <f t="shared" si="18"/>
        <v>0</v>
      </c>
      <c r="K57" s="33">
        <v>0.0192</v>
      </c>
      <c r="L57" s="33">
        <f t="shared" si="19"/>
        <v>0.19199999999999998</v>
      </c>
      <c r="N57" s="54" t="s">
        <v>185</v>
      </c>
      <c r="O57" s="33">
        <f t="shared" si="20"/>
        <v>0</v>
      </c>
      <c r="Z57" s="33">
        <f t="shared" si="21"/>
        <v>0</v>
      </c>
      <c r="AA57" s="33">
        <f t="shared" si="22"/>
        <v>0</v>
      </c>
      <c r="AB57" s="33">
        <f t="shared" si="23"/>
        <v>0</v>
      </c>
      <c r="AD57" s="55">
        <v>15</v>
      </c>
      <c r="AE57" s="55">
        <f t="shared" si="24"/>
        <v>0</v>
      </c>
      <c r="AF57" s="55">
        <f t="shared" si="25"/>
        <v>0</v>
      </c>
    </row>
    <row r="58" spans="1:32" ht="12.75">
      <c r="A58" s="12" t="s">
        <v>42</v>
      </c>
      <c r="B58" s="12"/>
      <c r="C58" s="12" t="s">
        <v>96</v>
      </c>
      <c r="D58" s="12" t="s">
        <v>151</v>
      </c>
      <c r="E58" s="12" t="s">
        <v>165</v>
      </c>
      <c r="F58" s="33">
        <v>3</v>
      </c>
      <c r="H58" s="33">
        <f t="shared" si="16"/>
        <v>0</v>
      </c>
      <c r="I58" s="33">
        <f t="shared" si="17"/>
        <v>0</v>
      </c>
      <c r="J58" s="33">
        <f t="shared" si="18"/>
        <v>0</v>
      </c>
      <c r="K58" s="33">
        <v>0.0275</v>
      </c>
      <c r="L58" s="33">
        <f t="shared" si="19"/>
        <v>0.0825</v>
      </c>
      <c r="N58" s="54" t="s">
        <v>185</v>
      </c>
      <c r="O58" s="33">
        <f t="shared" si="20"/>
        <v>0</v>
      </c>
      <c r="Z58" s="33">
        <f t="shared" si="21"/>
        <v>0</v>
      </c>
      <c r="AA58" s="33">
        <f t="shared" si="22"/>
        <v>0</v>
      </c>
      <c r="AB58" s="33">
        <f t="shared" si="23"/>
        <v>0</v>
      </c>
      <c r="AD58" s="55">
        <v>15</v>
      </c>
      <c r="AE58" s="55">
        <f t="shared" si="24"/>
        <v>0</v>
      </c>
      <c r="AF58" s="55">
        <f t="shared" si="25"/>
        <v>0</v>
      </c>
    </row>
    <row r="59" spans="1:32" ht="12.75">
      <c r="A59" s="12" t="s">
        <v>43</v>
      </c>
      <c r="B59" s="12"/>
      <c r="C59" s="12" t="s">
        <v>97</v>
      </c>
      <c r="D59" s="12" t="s">
        <v>152</v>
      </c>
      <c r="E59" s="12" t="s">
        <v>163</v>
      </c>
      <c r="F59" s="33">
        <v>2.5</v>
      </c>
      <c r="H59" s="33">
        <f t="shared" si="16"/>
        <v>0</v>
      </c>
      <c r="I59" s="33">
        <f t="shared" si="17"/>
        <v>0</v>
      </c>
      <c r="J59" s="33">
        <f t="shared" si="18"/>
        <v>0</v>
      </c>
      <c r="K59" s="33">
        <v>0.00304</v>
      </c>
      <c r="L59" s="33">
        <f t="shared" si="19"/>
        <v>0.007600000000000001</v>
      </c>
      <c r="N59" s="54" t="s">
        <v>185</v>
      </c>
      <c r="O59" s="33">
        <f t="shared" si="20"/>
        <v>0</v>
      </c>
      <c r="Z59" s="33">
        <f t="shared" si="21"/>
        <v>0</v>
      </c>
      <c r="AA59" s="33">
        <f t="shared" si="22"/>
        <v>0</v>
      </c>
      <c r="AB59" s="33">
        <f t="shared" si="23"/>
        <v>0</v>
      </c>
      <c r="AD59" s="55">
        <v>15</v>
      </c>
      <c r="AE59" s="55">
        <f t="shared" si="24"/>
        <v>0</v>
      </c>
      <c r="AF59" s="55">
        <f t="shared" si="25"/>
        <v>0</v>
      </c>
    </row>
    <row r="60" spans="1:32" ht="12.75">
      <c r="A60" s="12" t="s">
        <v>44</v>
      </c>
      <c r="B60" s="12"/>
      <c r="C60" s="12" t="s">
        <v>98</v>
      </c>
      <c r="D60" s="12" t="s">
        <v>153</v>
      </c>
      <c r="E60" s="12" t="s">
        <v>165</v>
      </c>
      <c r="F60" s="33">
        <v>4</v>
      </c>
      <c r="H60" s="33">
        <f t="shared" si="16"/>
        <v>0</v>
      </c>
      <c r="I60" s="33">
        <f t="shared" si="17"/>
        <v>0</v>
      </c>
      <c r="J60" s="33">
        <f t="shared" si="18"/>
        <v>0</v>
      </c>
      <c r="K60" s="33">
        <v>0.008</v>
      </c>
      <c r="L60" s="33">
        <f t="shared" si="19"/>
        <v>0.032</v>
      </c>
      <c r="N60" s="54" t="s">
        <v>185</v>
      </c>
      <c r="O60" s="33">
        <f t="shared" si="20"/>
        <v>0</v>
      </c>
      <c r="Z60" s="33">
        <f t="shared" si="21"/>
        <v>0</v>
      </c>
      <c r="AA60" s="33">
        <f t="shared" si="22"/>
        <v>0</v>
      </c>
      <c r="AB60" s="33">
        <f t="shared" si="23"/>
        <v>0</v>
      </c>
      <c r="AD60" s="55">
        <v>15</v>
      </c>
      <c r="AE60" s="55">
        <f t="shared" si="24"/>
        <v>0</v>
      </c>
      <c r="AF60" s="55">
        <f t="shared" si="25"/>
        <v>0</v>
      </c>
    </row>
    <row r="61" spans="1:32" ht="12.75">
      <c r="A61" s="12" t="s">
        <v>45</v>
      </c>
      <c r="B61" s="12"/>
      <c r="C61" s="12" t="s">
        <v>99</v>
      </c>
      <c r="D61" s="12" t="s">
        <v>154</v>
      </c>
      <c r="E61" s="12" t="s">
        <v>165</v>
      </c>
      <c r="F61" s="33">
        <v>3</v>
      </c>
      <c r="H61" s="33">
        <f t="shared" si="16"/>
        <v>0</v>
      </c>
      <c r="I61" s="33">
        <f t="shared" si="17"/>
        <v>0</v>
      </c>
      <c r="J61" s="33">
        <f t="shared" si="18"/>
        <v>0</v>
      </c>
      <c r="K61" s="33">
        <v>0.021</v>
      </c>
      <c r="L61" s="33">
        <f t="shared" si="19"/>
        <v>0.063</v>
      </c>
      <c r="N61" s="54" t="s">
        <v>185</v>
      </c>
      <c r="O61" s="33">
        <f t="shared" si="20"/>
        <v>0</v>
      </c>
      <c r="Z61" s="33">
        <f t="shared" si="21"/>
        <v>0</v>
      </c>
      <c r="AA61" s="33">
        <f t="shared" si="22"/>
        <v>0</v>
      </c>
      <c r="AB61" s="33">
        <f t="shared" si="23"/>
        <v>0</v>
      </c>
      <c r="AD61" s="55">
        <v>15</v>
      </c>
      <c r="AE61" s="55">
        <f t="shared" si="24"/>
        <v>0</v>
      </c>
      <c r="AF61" s="55">
        <f t="shared" si="25"/>
        <v>0</v>
      </c>
    </row>
    <row r="62" spans="1:32" ht="12.75">
      <c r="A62" s="12" t="s">
        <v>46</v>
      </c>
      <c r="B62" s="12"/>
      <c r="C62" s="12" t="s">
        <v>100</v>
      </c>
      <c r="D62" s="12" t="s">
        <v>155</v>
      </c>
      <c r="E62" s="12" t="s">
        <v>165</v>
      </c>
      <c r="F62" s="33">
        <v>2</v>
      </c>
      <c r="H62" s="33">
        <f t="shared" si="16"/>
        <v>0</v>
      </c>
      <c r="I62" s="33">
        <f t="shared" si="17"/>
        <v>0</v>
      </c>
      <c r="J62" s="33">
        <f t="shared" si="18"/>
        <v>0</v>
      </c>
      <c r="K62" s="33">
        <v>0.062</v>
      </c>
      <c r="L62" s="33">
        <f t="shared" si="19"/>
        <v>0.124</v>
      </c>
      <c r="N62" s="54" t="s">
        <v>185</v>
      </c>
      <c r="O62" s="33">
        <f t="shared" si="20"/>
        <v>0</v>
      </c>
      <c r="Z62" s="33">
        <f t="shared" si="21"/>
        <v>0</v>
      </c>
      <c r="AA62" s="33">
        <f t="shared" si="22"/>
        <v>0</v>
      </c>
      <c r="AB62" s="33">
        <f t="shared" si="23"/>
        <v>0</v>
      </c>
      <c r="AD62" s="55">
        <v>15</v>
      </c>
      <c r="AE62" s="55">
        <f t="shared" si="24"/>
        <v>0</v>
      </c>
      <c r="AF62" s="55">
        <f t="shared" si="25"/>
        <v>0</v>
      </c>
    </row>
    <row r="63" spans="1:32" ht="12.75">
      <c r="A63" s="12" t="s">
        <v>47</v>
      </c>
      <c r="B63" s="12"/>
      <c r="C63" s="12" t="s">
        <v>101</v>
      </c>
      <c r="D63" s="12" t="s">
        <v>156</v>
      </c>
      <c r="E63" s="12" t="s">
        <v>165</v>
      </c>
      <c r="F63" s="33">
        <v>3</v>
      </c>
      <c r="H63" s="33">
        <f t="shared" si="16"/>
        <v>0</v>
      </c>
      <c r="I63" s="33">
        <f t="shared" si="17"/>
        <v>0</v>
      </c>
      <c r="J63" s="33">
        <f t="shared" si="18"/>
        <v>0</v>
      </c>
      <c r="K63" s="33">
        <v>0.0008</v>
      </c>
      <c r="L63" s="33">
        <f t="shared" si="19"/>
        <v>0.0024000000000000002</v>
      </c>
      <c r="N63" s="54" t="s">
        <v>185</v>
      </c>
      <c r="O63" s="33">
        <f t="shared" si="20"/>
        <v>0</v>
      </c>
      <c r="Z63" s="33">
        <f t="shared" si="21"/>
        <v>0</v>
      </c>
      <c r="AA63" s="33">
        <f t="shared" si="22"/>
        <v>0</v>
      </c>
      <c r="AB63" s="33">
        <f t="shared" si="23"/>
        <v>0</v>
      </c>
      <c r="AD63" s="55">
        <v>15</v>
      </c>
      <c r="AE63" s="55">
        <f t="shared" si="24"/>
        <v>0</v>
      </c>
      <c r="AF63" s="55">
        <f t="shared" si="25"/>
        <v>0</v>
      </c>
    </row>
    <row r="64" spans="1:32" ht="12.75">
      <c r="A64" s="13" t="s">
        <v>48</v>
      </c>
      <c r="B64" s="13"/>
      <c r="C64" s="13" t="s">
        <v>102</v>
      </c>
      <c r="D64" s="13" t="s">
        <v>157</v>
      </c>
      <c r="E64" s="13" t="s">
        <v>165</v>
      </c>
      <c r="F64" s="34">
        <v>2</v>
      </c>
      <c r="G64" s="38"/>
      <c r="H64" s="34">
        <f t="shared" si="16"/>
        <v>0</v>
      </c>
      <c r="I64" s="34">
        <f t="shared" si="17"/>
        <v>0</v>
      </c>
      <c r="J64" s="34">
        <f t="shared" si="18"/>
        <v>0</v>
      </c>
      <c r="K64" s="34">
        <v>0</v>
      </c>
      <c r="L64" s="34">
        <f t="shared" si="19"/>
        <v>0</v>
      </c>
      <c r="N64" s="54" t="s">
        <v>185</v>
      </c>
      <c r="O64" s="33">
        <f t="shared" si="20"/>
        <v>0</v>
      </c>
      <c r="Z64" s="33">
        <f t="shared" si="21"/>
        <v>0</v>
      </c>
      <c r="AA64" s="33">
        <f t="shared" si="22"/>
        <v>0</v>
      </c>
      <c r="AB64" s="33">
        <f t="shared" si="23"/>
        <v>0</v>
      </c>
      <c r="AD64" s="55">
        <v>15</v>
      </c>
      <c r="AE64" s="55">
        <f t="shared" si="24"/>
        <v>0</v>
      </c>
      <c r="AF64" s="55">
        <f t="shared" si="25"/>
        <v>0</v>
      </c>
    </row>
    <row r="65" spans="1:28" ht="12.75">
      <c r="A65" s="14"/>
      <c r="B65" s="14"/>
      <c r="C65" s="14"/>
      <c r="D65" s="14"/>
      <c r="E65" s="14"/>
      <c r="F65" s="14"/>
      <c r="G65" s="14"/>
      <c r="H65" s="23" t="s">
        <v>175</v>
      </c>
      <c r="I65" s="43"/>
      <c r="J65" s="58">
        <f>J12+J15+J17+J21+J24+J28+J35+J42+J47+J51+J53</f>
        <v>0</v>
      </c>
      <c r="K65" s="14"/>
      <c r="L65" s="14"/>
      <c r="Z65" s="59">
        <f>SUM(Z13:Z64)</f>
        <v>0</v>
      </c>
      <c r="AA65" s="59">
        <f>SUM(AA13:AA64)</f>
        <v>0</v>
      </c>
      <c r="AB65" s="59">
        <f>SUM(AB13:AB64)</f>
        <v>0</v>
      </c>
    </row>
  </sheetData>
  <mergeCells count="39">
    <mergeCell ref="D53:G53"/>
    <mergeCell ref="H65:I65"/>
    <mergeCell ref="D35:G35"/>
    <mergeCell ref="D42:G42"/>
    <mergeCell ref="D47:G47"/>
    <mergeCell ref="D51:G51"/>
    <mergeCell ref="D17:G17"/>
    <mergeCell ref="D21:G21"/>
    <mergeCell ref="D24:G24"/>
    <mergeCell ref="D28:G28"/>
    <mergeCell ref="H10:J10"/>
    <mergeCell ref="K10:L10"/>
    <mergeCell ref="D12:G12"/>
    <mergeCell ref="D15:G15"/>
    <mergeCell ref="I8:I9"/>
    <mergeCell ref="J2:L3"/>
    <mergeCell ref="J4:L5"/>
    <mergeCell ref="J6:L7"/>
    <mergeCell ref="J8:L9"/>
    <mergeCell ref="E8:F9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I1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  <col min="10" max="16384" width="11.421875" style="0" customWidth="1"/>
  </cols>
  <sheetData>
    <row r="1" spans="1:9" ht="28.5" customHeight="1">
      <c r="A1" s="60" t="s">
        <v>199</v>
      </c>
      <c r="B1" s="74"/>
      <c r="C1" s="74"/>
      <c r="D1" s="74"/>
      <c r="E1" s="74"/>
      <c r="F1" s="74"/>
      <c r="G1" s="74"/>
      <c r="H1" s="74"/>
      <c r="I1" s="74"/>
    </row>
    <row r="2" spans="1:10" ht="12.75">
      <c r="A2" s="3" t="s">
        <v>1</v>
      </c>
      <c r="B2" s="16"/>
      <c r="C2" s="23" t="s">
        <v>103</v>
      </c>
      <c r="D2" s="43"/>
      <c r="E2" s="28" t="s">
        <v>176</v>
      </c>
      <c r="F2" s="28" t="s">
        <v>181</v>
      </c>
      <c r="G2" s="16"/>
      <c r="H2" s="28" t="s">
        <v>234</v>
      </c>
      <c r="I2" s="94"/>
      <c r="J2" s="51"/>
    </row>
    <row r="3" spans="1:10" ht="12.75">
      <c r="A3" s="4"/>
      <c r="B3" s="17"/>
      <c r="C3" s="24"/>
      <c r="D3" s="24"/>
      <c r="E3" s="17"/>
      <c r="F3" s="17"/>
      <c r="G3" s="17"/>
      <c r="H3" s="17"/>
      <c r="I3" s="49"/>
      <c r="J3" s="51"/>
    </row>
    <row r="4" spans="1:10" ht="12.75">
      <c r="A4" s="5" t="s">
        <v>2</v>
      </c>
      <c r="B4" s="17"/>
      <c r="C4" s="25" t="s">
        <v>104</v>
      </c>
      <c r="D4" s="17"/>
      <c r="E4" s="25" t="s">
        <v>177</v>
      </c>
      <c r="F4" s="25" t="s">
        <v>182</v>
      </c>
      <c r="G4" s="17"/>
      <c r="H4" s="25" t="s">
        <v>234</v>
      </c>
      <c r="I4" s="95" t="s">
        <v>238</v>
      </c>
      <c r="J4" s="51"/>
    </row>
    <row r="5" spans="1:10" ht="12.75">
      <c r="A5" s="4"/>
      <c r="B5" s="17"/>
      <c r="C5" s="17"/>
      <c r="D5" s="17"/>
      <c r="E5" s="17"/>
      <c r="F5" s="17"/>
      <c r="G5" s="17"/>
      <c r="H5" s="17"/>
      <c r="I5" s="49"/>
      <c r="J5" s="51"/>
    </row>
    <row r="6" spans="1:10" ht="12.75">
      <c r="A6" s="5" t="s">
        <v>3</v>
      </c>
      <c r="B6" s="17"/>
      <c r="C6" s="25"/>
      <c r="D6" s="17"/>
      <c r="E6" s="25" t="s">
        <v>178</v>
      </c>
      <c r="F6" s="25"/>
      <c r="G6" s="17"/>
      <c r="H6" s="25" t="s">
        <v>234</v>
      </c>
      <c r="I6" s="95"/>
      <c r="J6" s="51"/>
    </row>
    <row r="7" spans="1:10" ht="12.75">
      <c r="A7" s="4"/>
      <c r="B7" s="17"/>
      <c r="C7" s="17"/>
      <c r="D7" s="17"/>
      <c r="E7" s="17"/>
      <c r="F7" s="17"/>
      <c r="G7" s="17"/>
      <c r="H7" s="17"/>
      <c r="I7" s="49"/>
      <c r="J7" s="51"/>
    </row>
    <row r="8" spans="1:10" ht="12.75">
      <c r="A8" s="5" t="s">
        <v>159</v>
      </c>
      <c r="B8" s="17"/>
      <c r="C8" s="35">
        <v>42503</v>
      </c>
      <c r="D8" s="17"/>
      <c r="E8" s="25" t="s">
        <v>160</v>
      </c>
      <c r="F8" s="17"/>
      <c r="G8" s="17"/>
      <c r="H8" s="25" t="s">
        <v>235</v>
      </c>
      <c r="I8" s="95" t="s">
        <v>48</v>
      </c>
      <c r="J8" s="51"/>
    </row>
    <row r="9" spans="1:10" ht="12.75">
      <c r="A9" s="4"/>
      <c r="B9" s="17"/>
      <c r="C9" s="17"/>
      <c r="D9" s="17"/>
      <c r="E9" s="17"/>
      <c r="F9" s="17"/>
      <c r="G9" s="17"/>
      <c r="H9" s="17"/>
      <c r="I9" s="49"/>
      <c r="J9" s="51"/>
    </row>
    <row r="10" spans="1:10" ht="12.75">
      <c r="A10" s="5" t="s">
        <v>4</v>
      </c>
      <c r="B10" s="17"/>
      <c r="C10" s="25"/>
      <c r="D10" s="17"/>
      <c r="E10" s="25" t="s">
        <v>179</v>
      </c>
      <c r="F10" s="25"/>
      <c r="G10" s="17"/>
      <c r="H10" s="25" t="s">
        <v>236</v>
      </c>
      <c r="I10" s="96">
        <v>42503</v>
      </c>
      <c r="J10" s="51"/>
    </row>
    <row r="11" spans="1:10" ht="12.75">
      <c r="A11" s="61"/>
      <c r="B11" s="75"/>
      <c r="C11" s="75"/>
      <c r="D11" s="75"/>
      <c r="E11" s="75"/>
      <c r="F11" s="75"/>
      <c r="G11" s="75"/>
      <c r="H11" s="75"/>
      <c r="I11" s="97"/>
      <c r="J11" s="51"/>
    </row>
    <row r="12" spans="1:9" ht="23.25" customHeight="1">
      <c r="A12" s="62" t="s">
        <v>200</v>
      </c>
      <c r="B12" s="76"/>
      <c r="C12" s="76"/>
      <c r="D12" s="76"/>
      <c r="E12" s="76"/>
      <c r="F12" s="76"/>
      <c r="G12" s="76"/>
      <c r="H12" s="76"/>
      <c r="I12" s="76"/>
    </row>
    <row r="13" spans="1:10" ht="26.25" customHeight="1">
      <c r="A13" s="63" t="s">
        <v>201</v>
      </c>
      <c r="B13" s="77" t="s">
        <v>212</v>
      </c>
      <c r="C13" s="84"/>
      <c r="D13" s="63" t="s">
        <v>214</v>
      </c>
      <c r="E13" s="77" t="s">
        <v>222</v>
      </c>
      <c r="F13" s="84"/>
      <c r="G13" s="63" t="s">
        <v>223</v>
      </c>
      <c r="H13" s="77" t="s">
        <v>237</v>
      </c>
      <c r="I13" s="84"/>
      <c r="J13" s="51"/>
    </row>
    <row r="14" spans="1:10" ht="15" customHeight="1">
      <c r="A14" s="64" t="s">
        <v>202</v>
      </c>
      <c r="B14" s="78" t="s">
        <v>213</v>
      </c>
      <c r="C14" s="85"/>
      <c r="D14" s="90" t="s">
        <v>215</v>
      </c>
      <c r="E14" s="92"/>
      <c r="F14" s="85"/>
      <c r="G14" s="90" t="s">
        <v>224</v>
      </c>
      <c r="H14" s="92"/>
      <c r="I14" s="85"/>
      <c r="J14" s="51"/>
    </row>
    <row r="15" spans="1:10" ht="15" customHeight="1">
      <c r="A15" s="65"/>
      <c r="B15" s="78" t="s">
        <v>180</v>
      </c>
      <c r="C15" s="85"/>
      <c r="D15" s="90" t="s">
        <v>216</v>
      </c>
      <c r="E15" s="92"/>
      <c r="F15" s="85"/>
      <c r="G15" s="90" t="s">
        <v>225</v>
      </c>
      <c r="H15" s="92"/>
      <c r="I15" s="85"/>
      <c r="J15" s="51"/>
    </row>
    <row r="16" spans="1:10" ht="15" customHeight="1">
      <c r="A16" s="64" t="s">
        <v>203</v>
      </c>
      <c r="B16" s="78" t="s">
        <v>213</v>
      </c>
      <c r="C16" s="85"/>
      <c r="D16" s="90" t="s">
        <v>217</v>
      </c>
      <c r="E16" s="92"/>
      <c r="F16" s="85"/>
      <c r="G16" s="90" t="s">
        <v>226</v>
      </c>
      <c r="H16" s="92"/>
      <c r="I16" s="85"/>
      <c r="J16" s="51"/>
    </row>
    <row r="17" spans="1:10" ht="15" customHeight="1">
      <c r="A17" s="65"/>
      <c r="B17" s="78" t="s">
        <v>180</v>
      </c>
      <c r="C17" s="85"/>
      <c r="D17" s="90"/>
      <c r="E17" s="92"/>
      <c r="F17" s="93"/>
      <c r="G17" s="90" t="s">
        <v>227</v>
      </c>
      <c r="H17" s="92"/>
      <c r="I17" s="85"/>
      <c r="J17" s="51"/>
    </row>
    <row r="18" spans="1:10" ht="15" customHeight="1">
      <c r="A18" s="64" t="s">
        <v>204</v>
      </c>
      <c r="B18" s="78" t="s">
        <v>213</v>
      </c>
      <c r="C18" s="85"/>
      <c r="D18" s="90"/>
      <c r="E18" s="92"/>
      <c r="F18" s="93"/>
      <c r="G18" s="90" t="s">
        <v>228</v>
      </c>
      <c r="H18" s="92"/>
      <c r="I18" s="85"/>
      <c r="J18" s="51"/>
    </row>
    <row r="19" spans="1:10" ht="15" customHeight="1">
      <c r="A19" s="65"/>
      <c r="B19" s="78" t="s">
        <v>180</v>
      </c>
      <c r="C19" s="85"/>
      <c r="D19" s="90"/>
      <c r="E19" s="92"/>
      <c r="F19" s="93"/>
      <c r="G19" s="90" t="s">
        <v>229</v>
      </c>
      <c r="H19" s="92"/>
      <c r="I19" s="85"/>
      <c r="J19" s="51"/>
    </row>
    <row r="20" spans="1:10" ht="15" customHeight="1">
      <c r="A20" s="66" t="s">
        <v>146</v>
      </c>
      <c r="B20" s="79"/>
      <c r="C20" s="85"/>
      <c r="D20" s="90"/>
      <c r="E20" s="92"/>
      <c r="F20" s="93"/>
      <c r="G20" s="90"/>
      <c r="H20" s="92"/>
      <c r="I20" s="93"/>
      <c r="J20" s="51"/>
    </row>
    <row r="21" spans="1:10" ht="15" customHeight="1">
      <c r="A21" s="66" t="s">
        <v>205</v>
      </c>
      <c r="B21" s="79"/>
      <c r="C21" s="85"/>
      <c r="D21" s="90"/>
      <c r="E21" s="92"/>
      <c r="F21" s="93"/>
      <c r="G21" s="90"/>
      <c r="H21" s="92"/>
      <c r="I21" s="93"/>
      <c r="J21" s="51"/>
    </row>
    <row r="22" spans="1:10" ht="15.75" customHeight="1">
      <c r="A22" s="66" t="s">
        <v>206</v>
      </c>
      <c r="B22" s="79"/>
      <c r="C22" s="85"/>
      <c r="D22" s="66" t="s">
        <v>218</v>
      </c>
      <c r="E22" s="79"/>
      <c r="F22" s="85"/>
      <c r="G22" s="66" t="s">
        <v>230</v>
      </c>
      <c r="H22" s="79"/>
      <c r="I22" s="85"/>
      <c r="J22" s="51"/>
    </row>
    <row r="23" spans="1:9" ht="12.75" hidden="1">
      <c r="A23" s="67"/>
      <c r="B23" s="67"/>
      <c r="C23" s="67"/>
      <c r="D23" s="14"/>
      <c r="E23" s="14"/>
      <c r="F23" s="14"/>
      <c r="G23" s="14"/>
      <c r="H23" s="14"/>
      <c r="I23" s="14"/>
    </row>
    <row r="24" spans="1:9" ht="15" customHeight="1">
      <c r="A24" s="68" t="s">
        <v>207</v>
      </c>
      <c r="B24" s="80"/>
      <c r="C24" s="86"/>
      <c r="D24" s="91"/>
      <c r="E24" s="38"/>
      <c r="F24" s="38"/>
      <c r="G24" s="38"/>
      <c r="H24" s="38"/>
      <c r="I24" s="38"/>
    </row>
    <row r="25" spans="1:10" ht="15" customHeight="1">
      <c r="A25" s="68" t="s">
        <v>208</v>
      </c>
      <c r="B25" s="80"/>
      <c r="C25" s="86"/>
      <c r="D25" s="68" t="s">
        <v>219</v>
      </c>
      <c r="E25" s="80"/>
      <c r="F25" s="86"/>
      <c r="G25" s="68" t="s">
        <v>231</v>
      </c>
      <c r="H25" s="80"/>
      <c r="I25" s="86"/>
      <c r="J25" s="51"/>
    </row>
    <row r="26" spans="1:10" ht="13.5" customHeight="1">
      <c r="A26" s="68" t="s">
        <v>209</v>
      </c>
      <c r="B26" s="80"/>
      <c r="C26" s="86"/>
      <c r="D26" s="68" t="s">
        <v>220</v>
      </c>
      <c r="E26" s="80"/>
      <c r="F26" s="86"/>
      <c r="G26" s="68" t="s">
        <v>232</v>
      </c>
      <c r="H26" s="80"/>
      <c r="I26" s="86"/>
      <c r="J26" s="51"/>
    </row>
    <row r="27" spans="1:9" ht="12.75" hidden="1">
      <c r="A27" s="69"/>
      <c r="B27" s="69"/>
      <c r="C27" s="69"/>
      <c r="D27" s="69"/>
      <c r="E27" s="69"/>
      <c r="F27" s="69"/>
      <c r="G27" s="69"/>
      <c r="H27" s="69"/>
      <c r="I27" s="69"/>
    </row>
    <row r="28" spans="1:10" ht="14.25" customHeight="1">
      <c r="A28" s="70" t="s">
        <v>210</v>
      </c>
      <c r="B28" s="81"/>
      <c r="C28" s="87"/>
      <c r="D28" s="70" t="s">
        <v>221</v>
      </c>
      <c r="E28" s="81"/>
      <c r="F28" s="87"/>
      <c r="G28" s="70" t="s">
        <v>233</v>
      </c>
      <c r="H28" s="81"/>
      <c r="I28" s="87"/>
      <c r="J28" s="52"/>
    </row>
    <row r="29" spans="1:10" ht="14.25" customHeight="1">
      <c r="A29" s="71"/>
      <c r="B29" s="82"/>
      <c r="C29" s="88"/>
      <c r="D29" s="71"/>
      <c r="E29" s="82"/>
      <c r="F29" s="88"/>
      <c r="G29" s="71"/>
      <c r="H29" s="82"/>
      <c r="I29" s="88"/>
      <c r="J29" s="52"/>
    </row>
    <row r="30" spans="1:10" ht="0.75" customHeight="1">
      <c r="A30" s="71"/>
      <c r="B30" s="82"/>
      <c r="C30" s="88"/>
      <c r="D30" s="71"/>
      <c r="E30" s="82"/>
      <c r="F30" s="88"/>
      <c r="G30" s="71"/>
      <c r="H30" s="82"/>
      <c r="I30" s="88"/>
      <c r="J30" s="52"/>
    </row>
    <row r="31" spans="1:10" ht="14.25" customHeight="1">
      <c r="A31" s="71"/>
      <c r="B31" s="82"/>
      <c r="C31" s="88"/>
      <c r="D31" s="71"/>
      <c r="E31" s="82"/>
      <c r="F31" s="88"/>
      <c r="G31" s="71"/>
      <c r="H31" s="82"/>
      <c r="I31" s="88"/>
      <c r="J31" s="52"/>
    </row>
    <row r="32" spans="1:10" ht="14.25" customHeight="1">
      <c r="A32" s="72" t="s">
        <v>211</v>
      </c>
      <c r="B32" s="83"/>
      <c r="C32" s="89"/>
      <c r="D32" s="72" t="s">
        <v>211</v>
      </c>
      <c r="E32" s="83"/>
      <c r="F32" s="89"/>
      <c r="G32" s="72" t="s">
        <v>211</v>
      </c>
      <c r="H32" s="83"/>
      <c r="I32" s="89"/>
      <c r="J32" s="52"/>
    </row>
    <row r="33" spans="1:9" ht="12.75">
      <c r="A33" s="73"/>
      <c r="B33" s="73"/>
      <c r="C33" s="73"/>
      <c r="D33" s="73"/>
      <c r="E33" s="73"/>
      <c r="F33" s="73"/>
      <c r="G33" s="73"/>
      <c r="H33" s="73"/>
      <c r="I33" s="73"/>
    </row>
  </sheetData>
  <mergeCells count="78"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A12:I12"/>
    <mergeCell ref="B13:C13"/>
    <mergeCell ref="E13:F13"/>
    <mergeCell ref="H13:I13"/>
    <mergeCell ref="H8:H9"/>
    <mergeCell ref="H10:H11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F8:G9"/>
    <mergeCell ref="F10:G11"/>
    <mergeCell ref="A8:B9"/>
    <mergeCell ref="A10:B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jakost</cp:lastModifiedBy>
  <dcterms:modified xsi:type="dcterms:W3CDTF">2016-05-17T11:02:11Z</dcterms:modified>
  <cp:category/>
  <cp:version/>
  <cp:contentType/>
  <cp:contentStatus/>
</cp:coreProperties>
</file>