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<sst xmlns="http://schemas.openxmlformats.org/spreadsheetml/2006/main" count="399" uniqueCount="197">
  <si>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</si>
  <si>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</si>
  <si>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</si>
  <si>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</si>
  <si>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</si>
  <si>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</si>
  <si>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</si>
  <si>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</si>
  <si>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</si>
  <si>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</si>
  <si>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</si>
  <si>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</si>
  <si>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</si>
  <si>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</si>
  <si>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</si>
  <si>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</si>
  <si>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</si>
  <si>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</si>
  <si>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</si>
  <si>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</si>
  <si>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</si>
  <si>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</si>
  <si>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</si>
  <si>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</si>
  <si>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</si>
  <si>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</si>
  <si>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</si>
  <si>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</si>
  <si>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</si>
  <si>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</si>
  <si>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</si>
  <si>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</si>
  <si>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</si>
  <si>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Objekt</t>
  </si>
  <si>
    <t>Kód</t>
  </si>
  <si>
    <t>762</t>
  </si>
  <si>
    <t>762512245R00</t>
  </si>
  <si>
    <t>762595000R00</t>
  </si>
  <si>
    <t>776</t>
  </si>
  <si>
    <t>776510010RA0</t>
  </si>
  <si>
    <t>776511000R00</t>
  </si>
  <si>
    <t>776411000R00</t>
  </si>
  <si>
    <t>776101115R00</t>
  </si>
  <si>
    <t>776101121R00</t>
  </si>
  <si>
    <t>776583110R00</t>
  </si>
  <si>
    <t>784</t>
  </si>
  <si>
    <t>784165612R00</t>
  </si>
  <si>
    <t>784161501R00</t>
  </si>
  <si>
    <t>784403801R00</t>
  </si>
  <si>
    <t>99017VD</t>
  </si>
  <si>
    <t>99014VD</t>
  </si>
  <si>
    <t>99013VD</t>
  </si>
  <si>
    <t>99016VD</t>
  </si>
  <si>
    <t>99015VD</t>
  </si>
  <si>
    <t>95</t>
  </si>
  <si>
    <t>610991111R00</t>
  </si>
  <si>
    <t>952902110R00</t>
  </si>
  <si>
    <t>952901110R00</t>
  </si>
  <si>
    <t>721VD</t>
  </si>
  <si>
    <t>H99</t>
  </si>
  <si>
    <t>999281111R00</t>
  </si>
  <si>
    <t>S</t>
  </si>
  <si>
    <t>979990191R00</t>
  </si>
  <si>
    <t>28342400</t>
  </si>
  <si>
    <t>28412262.A</t>
  </si>
  <si>
    <t>764VD</t>
  </si>
  <si>
    <t>60726012.A</t>
  </si>
  <si>
    <t>Oprava zázemí pro učinkující v objektu SD Střelnice</t>
  </si>
  <si>
    <t>Šatna 2</t>
  </si>
  <si>
    <t>Zkrácený popis</t>
  </si>
  <si>
    <t>Konstrukce tesařské</t>
  </si>
  <si>
    <t>Položení podlah pod PVC šroubováním 2x</t>
  </si>
  <si>
    <t>Spojovací a ochranné prostředky k položení podlah</t>
  </si>
  <si>
    <t>Podlahy povlakové</t>
  </si>
  <si>
    <t>Demontáž povlakových podlah z nášlapné plochy</t>
  </si>
  <si>
    <t>Lepení povlakových podlah z pásů pryžových</t>
  </si>
  <si>
    <t>Lepení podlahových soklíků pryžových</t>
  </si>
  <si>
    <t>Vyrovnání podkladů samonivelační hmotou</t>
  </si>
  <si>
    <t>Provedení penetrace podkladu</t>
  </si>
  <si>
    <t>Položení podložky pod povlakové podlahy</t>
  </si>
  <si>
    <t>Malby a nátěry</t>
  </si>
  <si>
    <t>Malba tekutá HET Brillant, bílá, bez penetrace, 2x</t>
  </si>
  <si>
    <t>Penetrace podkladu nátěrem HET, Brillant, 1 x</t>
  </si>
  <si>
    <t>Odstranění maleb omytím v místnosti H do 3,8 m</t>
  </si>
  <si>
    <t>Nátěr okno 560/1029 + 2x1172/2090 vč. očištění RAL dle původního stavu</t>
  </si>
  <si>
    <t>Nátěr mříže okno 1172/2090, včetně očištění</t>
  </si>
  <si>
    <t>Nátěr mříže okno 560/1029, včetně očištění</t>
  </si>
  <si>
    <t>Nátěr schodiště točité, vč. očištění</t>
  </si>
  <si>
    <t>Nátěr schodiště přímé, vč. očištění</t>
  </si>
  <si>
    <t>Různé dokončovací konstrukce a práce na pozemních stavbách</t>
  </si>
  <si>
    <t>Zakrývání výplní vnitřních otvorů</t>
  </si>
  <si>
    <t>Čištění zametáním v místnostech a chodbách</t>
  </si>
  <si>
    <t>Čištění mytím vnějších ploch oken a dveří</t>
  </si>
  <si>
    <t>Oprava víka šachty</t>
  </si>
  <si>
    <t>Ostatní přesuny hmot</t>
  </si>
  <si>
    <t>Přesun hmot pro opravy a údržbu do výšky 25 m</t>
  </si>
  <si>
    <t>Přesuny sutí</t>
  </si>
  <si>
    <t>Poplatek za skládku suti - plastové výrobky</t>
  </si>
  <si>
    <t>Ostatní materiál</t>
  </si>
  <si>
    <t>Soklík profil z měkčeného PVC</t>
  </si>
  <si>
    <t>Podlahovina PVC 2,0 mm zátěžová</t>
  </si>
  <si>
    <t>Podložka pod podlahovinu PVC - separační ( Tiros)</t>
  </si>
  <si>
    <t>Deska dřevoštěpková OSB 3 N - 4PD tl. 15 mm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</si>
  <si>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</si>
  <si>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</si>
  <si>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</si>
  <si>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</si>
  <si>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</si>
  <si>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</si>
  <si>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</si>
  <si>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m</t>
  </si>
  <si>
    <t>kus</t>
  </si>
  <si>
    <t>kpl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</si>
  <si>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</si>
  <si>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</si>
  <si>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</si>
  <si>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</si>
  <si>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</si>
  <si>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</si>
  <si>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</si>
  <si>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</si>
  <si>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</si>
  <si>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</si>
  <si>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</si>
  <si>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</si>
  <si>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Statutární město Děčín</t>
  </si>
  <si>
    <t>PROJEKCE Ing. Vladimír Hušek</t>
  </si>
  <si>
    <t>Celkem</t>
  </si>
  <si>
    <t>Hmotnost (t)</t>
  </si>
  <si>
    <t>0</t>
  </si>
  <si>
    <t>Přesuny</t>
  </si>
  <si>
    <t>Typ skupiny</t>
  </si>
  <si>
    <t>PS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</si>
  <si>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</si>
  <si>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</si>
  <si>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</si>
  <si>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</si>
  <si>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</si>
  <si>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</si>
  <si>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</si>
  <si>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</si>
  <si>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</si>
  <si>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</si>
  <si>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</si>
  <si>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Rozměry</t>
  </si>
  <si>
    <t>25,86*2</t>
  </si>
  <si>
    <t>25,86*0,03</t>
  </si>
  <si>
    <t>4,652*5,559</t>
  </si>
  <si>
    <t>4,652*2+5,559*2</t>
  </si>
  <si>
    <t>5,559*4,41*2+4,652*4,41*2</t>
  </si>
  <si>
    <t>5,559*4,652+2,346*1</t>
  </si>
  <si>
    <t>2,346*2,86*2+1*2,86*2</t>
  </si>
  <si>
    <t>0,56*1,029*2+1,172*2,09</t>
  </si>
  <si>
    <t>25,86*1,15</t>
  </si>
  <si>
    <t>51,72*1,1</t>
  </si>
  <si>
    <t>Varianta</t>
  </si>
  <si>
    <t xml:space="preserve">
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</si>
  <si>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</si>
  <si>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</si>
  <si>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</si>
  <si>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</si>
  <si>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</si>
  <si>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</si>
  <si>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</si>
  <si>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</si>
  <si>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</si>
  <si>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</si>
  <si>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</si>
  <si>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</si>
  <si>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</si>
  <si>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</si>
  <si>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</si>
  <si>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</si>
  <si>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</si>
  <si>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</si>
  <si>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</si>
  <si>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</si>
  <si>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</si>
  <si>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</si>
  <si>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</si>
  <si>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</si>
  <si>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</si>
  <si>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</si>
  <si>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</si>
  <si>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</si>
  <si>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</si>
  <si>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</si>
  <si>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</si>
  <si>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</si>
  <si>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</si>
  <si>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</si>
  <si>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</si>
  <si>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</si>
  <si>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</si>
  <si>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</si>
  <si>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</si>
  <si>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10409025/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</si>
</sst>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2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6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2" borderId="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2" borderId="7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2" borderId="7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0" fontId="3" fillId="2" borderId="7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2" borderId="7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7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49" fontId="8" fillId="2" borderId="29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9" fillId="2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49" fontId="10" fillId="0" borderId="35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0" fontId="9" fillId="2" borderId="28" xfId="0" applyNumberFormat="1" applyFont="1" applyFill="1" applyBorder="1" applyAlignment="1" applyProtection="1">
      <alignment horizontal="left" vertical="center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0" fontId="10" fillId="0" borderId="37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0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" fontId="10" fillId="0" borderId="29" xfId="0" applyNumberFormat="1" applyFont="1" applyFill="1" applyBorder="1" applyAlignment="1" applyProtection="1">
      <alignment horizontal="right" vertical="center"/>
      <protection/>
    </xf>
    <xf numFmtId="49" fontId="10" fillId="0" borderId="29" xfId="0" applyNumberFormat="1" applyFont="1" applyFill="1" applyBorder="1" applyAlignment="1" applyProtection="1">
      <alignment horizontal="righ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" fontId="9" fillId="2" borderId="36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workbookViewId="0" topLeftCell="A1">
      <selection activeCell="A1" sqref="A1:L1"/>
    </sheetView>
  </sheetViews>
  <sheetFormatPr defaultColWidth="9.140625" defaultRowHeight="12.75"/>
  <cols>
    <col min="1" max="1" width="2.8515625" style="0" customWidth="1"/>
    <col min="2" max="2" width="3.7109375" style="0" hidden="1" customWidth="1"/>
    <col min="3" max="3" width="13.28125" style="0" customWidth="1"/>
    <col min="4" max="4" width="59.28125" style="0" customWidth="1"/>
    <col min="5" max="5" width="4.28125" style="0" customWidth="1"/>
    <col min="6" max="6" width="8.421875" style="0" customWidth="1"/>
    <col min="7" max="7" width="12.00390625" style="0" customWidth="1"/>
    <col min="8" max="8" width="9.7109375" style="0" customWidth="1"/>
    <col min="9" max="9" width="10.421875" style="0" customWidth="1"/>
    <col min="10" max="10" width="11.140625" style="0" customWidth="1"/>
    <col min="11" max="12" width="11.7109375" style="0" hidden="1" customWidth="1"/>
    <col min="13" max="13" width="11.421875" style="0" customWidth="1"/>
    <col min="14" max="37" width="12.140625" style="0" hidden="1" customWidth="1"/>
    <col min="38" max="16384" width="11.421875" style="0" customWidth="1"/>
  </cols>
  <sheetData>
    <row r="1" spans="1:12" ht="21.75" customHeight="1">
      <c r="A1" s="2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12.75">
      <c r="A2" s="3" t="s">
        <v>1</v>
      </c>
      <c r="B2" s="16"/>
      <c r="C2" s="16"/>
      <c r="D2" s="23" t="s">
        <v>67</v>
      </c>
      <c r="E2" s="28" t="s">
        <v>103</v>
      </c>
      <c r="F2" s="16"/>
      <c r="G2" s="28"/>
      <c r="H2" s="16"/>
      <c r="I2" s="28" t="s">
        <v>120</v>
      </c>
      <c r="J2" s="28" t="s">
        <v>125</v>
      </c>
      <c r="K2" s="16"/>
      <c r="L2" s="47"/>
      <c r="M2" s="50"/>
    </row>
    <row r="3" spans="1:13" ht="12.75">
      <c r="A3" s="4"/>
      <c r="B3" s="17"/>
      <c r="C3" s="17"/>
      <c r="D3" s="24"/>
      <c r="E3" s="17"/>
      <c r="F3" s="17"/>
      <c r="G3" s="17"/>
      <c r="H3" s="17"/>
      <c r="I3" s="17"/>
      <c r="J3" s="17"/>
      <c r="K3" s="17"/>
      <c r="L3" s="48"/>
      <c r="M3" s="50"/>
    </row>
    <row r="4" spans="1:13" ht="12.75">
      <c r="A4" s="5" t="s">
        <v>2</v>
      </c>
      <c r="B4" s="17"/>
      <c r="C4" s="17"/>
      <c r="D4" s="25" t="s">
        <v>68</v>
      </c>
      <c r="E4" s="25" t="s">
        <v>104</v>
      </c>
      <c r="F4" s="17"/>
      <c r="G4" s="35">
        <v>42502</v>
      </c>
      <c r="H4" s="17"/>
      <c r="I4" s="25" t="s">
        <v>121</v>
      </c>
      <c r="J4" s="25" t="s">
        <v>126</v>
      </c>
      <c r="K4" s="17"/>
      <c r="L4" s="48"/>
      <c r="M4" s="50"/>
    </row>
    <row r="5" spans="1:13" ht="12.75">
      <c r="A5" s="4"/>
      <c r="B5" s="17"/>
      <c r="C5" s="17"/>
      <c r="D5" s="17"/>
      <c r="E5" s="17"/>
      <c r="F5" s="17"/>
      <c r="G5" s="17"/>
      <c r="H5" s="17"/>
      <c r="I5" s="17"/>
      <c r="J5" s="17"/>
      <c r="K5" s="17"/>
      <c r="L5" s="48"/>
      <c r="M5" s="50"/>
    </row>
    <row r="6" spans="1:13" ht="12.75">
      <c r="A6" s="5" t="s">
        <v>3</v>
      </c>
      <c r="B6" s="17"/>
      <c r="C6" s="17"/>
      <c r="D6" s="25"/>
      <c r="E6" s="25" t="s">
        <v>105</v>
      </c>
      <c r="F6" s="17"/>
      <c r="G6" s="17"/>
      <c r="H6" s="17"/>
      <c r="I6" s="25" t="s">
        <v>122</v>
      </c>
      <c r="J6" s="25"/>
      <c r="K6" s="17"/>
      <c r="L6" s="48"/>
      <c r="M6" s="50"/>
    </row>
    <row r="7" spans="1:13" ht="12.75">
      <c r="A7" s="4"/>
      <c r="B7" s="17"/>
      <c r="C7" s="17"/>
      <c r="D7" s="17"/>
      <c r="E7" s="17"/>
      <c r="F7" s="17"/>
      <c r="G7" s="17"/>
      <c r="H7" s="17"/>
      <c r="I7" s="17"/>
      <c r="J7" s="17"/>
      <c r="K7" s="17"/>
      <c r="L7" s="48"/>
      <c r="M7" s="50"/>
    </row>
    <row r="8" spans="1:13" ht="12.75">
      <c r="A8" s="5" t="s">
        <v>4</v>
      </c>
      <c r="B8" s="17"/>
      <c r="C8" s="17"/>
      <c r="D8" s="25"/>
      <c r="E8" s="25" t="s">
        <v>106</v>
      </c>
      <c r="F8" s="17"/>
      <c r="G8" s="35">
        <v>42502</v>
      </c>
      <c r="H8" s="17"/>
      <c r="I8" s="25" t="s">
        <v>123</v>
      </c>
      <c r="J8" s="25"/>
      <c r="K8" s="17"/>
      <c r="L8" s="48"/>
      <c r="M8" s="50"/>
    </row>
    <row r="9" spans="1:13" ht="12.75">
      <c r="A9" s="6"/>
      <c r="B9" s="18"/>
      <c r="C9" s="18"/>
      <c r="D9" s="18"/>
      <c r="E9" s="18"/>
      <c r="F9" s="18"/>
      <c r="G9" s="18"/>
      <c r="H9" s="18"/>
      <c r="I9" s="18"/>
      <c r="J9" s="18"/>
      <c r="K9" s="18"/>
      <c r="L9" s="49"/>
      <c r="M9" s="50"/>
    </row>
    <row r="10" spans="1:13" ht="12.75">
      <c r="A10" s="7" t="s">
        <v>5</v>
      </c>
      <c r="B10" s="19" t="s">
        <v>5</v>
      </c>
      <c r="C10" s="19" t="s">
        <v>5</v>
      </c>
      <c r="D10" s="19" t="s">
        <v>5</v>
      </c>
      <c r="E10" s="19" t="s">
        <v>5</v>
      </c>
      <c r="F10" s="19" t="s">
        <v>5</v>
      </c>
      <c r="G10" s="36" t="s">
        <v>115</v>
      </c>
      <c r="H10" s="38" t="s">
        <v>117</v>
      </c>
      <c r="I10" s="40"/>
      <c r="J10" s="43"/>
      <c r="K10" s="38" t="s">
        <v>128</v>
      </c>
      <c r="L10" s="43"/>
      <c r="M10" s="51"/>
    </row>
    <row r="11" spans="1:24" ht="12.75">
      <c r="A11" s="8" t="s">
        <v>6</v>
      </c>
      <c r="B11" s="20" t="s">
        <v>33</v>
      </c>
      <c r="C11" s="20" t="s">
        <v>34</v>
      </c>
      <c r="D11" s="20" t="s">
        <v>69</v>
      </c>
      <c r="E11" s="20" t="s">
        <v>107</v>
      </c>
      <c r="F11" s="31" t="s">
        <v>114</v>
      </c>
      <c r="G11" s="37" t="s">
        <v>116</v>
      </c>
      <c r="H11" s="39" t="s">
        <v>118</v>
      </c>
      <c r="I11" s="41" t="s">
        <v>124</v>
      </c>
      <c r="J11" s="44" t="s">
        <v>127</v>
      </c>
      <c r="K11" s="39" t="s">
        <v>115</v>
      </c>
      <c r="L11" s="44" t="s">
        <v>127</v>
      </c>
      <c r="M11" s="51"/>
      <c r="P11" s="46" t="s">
        <v>130</v>
      </c>
      <c r="Q11" s="46" t="s">
        <v>131</v>
      </c>
      <c r="R11" s="46" t="s">
        <v>136</v>
      </c>
      <c r="S11" s="46" t="s">
        <v>137</v>
      </c>
      <c r="T11" s="46" t="s">
        <v>138</v>
      </c>
      <c r="U11" s="46" t="s">
        <v>139</v>
      </c>
      <c r="V11" s="46" t="s">
        <v>140</v>
      </c>
      <c r="W11" s="46" t="s">
        <v>141</v>
      </c>
      <c r="X11" s="46" t="s">
        <v>142</v>
      </c>
    </row>
    <row r="12" spans="1:37" ht="12.75">
      <c r="A12" s="9"/>
      <c r="B12" s="9"/>
      <c r="C12" s="21" t="s">
        <v>35</v>
      </c>
      <c r="D12" s="26" t="s">
        <v>70</v>
      </c>
      <c r="E12" s="29"/>
      <c r="F12" s="29"/>
      <c r="G12" s="29"/>
      <c r="H12" s="55">
        <f>SUM(H13:H14)</f>
        <v>436.8</v>
      </c>
      <c r="I12" s="55">
        <f>SUM(I13:I14)</f>
        <v>4521.88</v>
      </c>
      <c r="J12" s="55">
        <f>H12+I12</f>
        <v>4958.68</v>
      </c>
      <c r="K12" s="45"/>
      <c r="L12" s="55">
        <f>SUM(L13:L14)</f>
        <v>0.002301</v>
      </c>
      <c r="P12" s="56">
        <f>IF(Q12="PR",J12,SUM(O13:O14))</f>
        <v>0</v>
      </c>
      <c r="Q12" s="46" t="s">
        <v>132</v>
      </c>
      <c r="R12" s="56">
        <f>IF(Q12="HS",H12,0)</f>
        <v>0</v>
      </c>
      <c r="S12" s="56">
        <f>IF(Q12="HS",I12-P12,0)</f>
        <v>0</v>
      </c>
      <c r="T12" s="56">
        <f>IF(Q12="PS",H12,0)</f>
        <v>436.8</v>
      </c>
      <c r="U12" s="56">
        <f>IF(Q12="PS",I12-P12,0)</f>
        <v>4521.88</v>
      </c>
      <c r="V12" s="56">
        <f>IF(Q12="MP",H12,0)</f>
        <v>0</v>
      </c>
      <c r="W12" s="56">
        <f>IF(Q12="MP",I12-P12,0)</f>
        <v>0</v>
      </c>
      <c r="X12" s="56">
        <f>IF(Q12="OM",H12,0)</f>
        <v>0</v>
      </c>
      <c r="Y12" s="46"/>
      <c r="AI12" s="56">
        <f>SUM(Z13:Z14)</f>
        <v>0</v>
      </c>
      <c r="AJ12" s="56">
        <f>SUM(AA13:AA14)</f>
        <v>0</v>
      </c>
      <c r="AK12" s="56">
        <f>SUM(AB13:AB14)</f>
        <v>4958.68</v>
      </c>
    </row>
    <row r="13" spans="1:32" ht="12.75">
      <c r="A13" s="10" t="s">
        <v>7</v>
      </c>
      <c r="B13" s="10"/>
      <c r="C13" s="10" t="s">
        <v>36</v>
      </c>
      <c r="D13" s="10" t="s">
        <v>71</v>
      </c>
      <c r="E13" s="10" t="s">
        <v>108</v>
      </c>
      <c r="F13" s="32">
        <v>51.72</v>
      </c>
      <c r="G13" s="32">
        <v>87.43</v>
      </c>
      <c r="H13" s="32">
        <f>ROUND(F13*AE13,2)</f>
        <v>0</v>
      </c>
      <c r="I13" s="32">
        <f>J13-H13</f>
        <v>4521.88</v>
      </c>
      <c r="J13" s="32">
        <f>ROUND(F13*G13,2)</f>
        <v>4521.88</v>
      </c>
      <c r="K13" s="32">
        <v>0</v>
      </c>
      <c r="L13" s="32">
        <f>F13*K13</f>
        <v>0</v>
      </c>
      <c r="N13" s="52" t="s">
        <v>7</v>
      </c>
      <c r="O13" s="32">
        <f>IF(N13="5",I13,0)</f>
        <v>0</v>
      </c>
      <c r="Z13" s="32">
        <f>IF(AD13=0,J13,0)</f>
        <v>0</v>
      </c>
      <c r="AA13" s="32">
        <f>IF(AD13=15,J13,0)</f>
        <v>0</v>
      </c>
      <c r="AB13" s="32">
        <f>IF(AD13=21,J13,0)</f>
        <v>4521.88</v>
      </c>
      <c r="AD13" s="54">
        <v>21</v>
      </c>
      <c r="AE13" s="54">
        <f>G13*0</f>
        <v>0</v>
      </c>
      <c r="AF13" s="54">
        <f>G13*(1-0)</f>
        <v>87.43</v>
      </c>
    </row>
    <row r="14" spans="1:32" ht="12.75">
      <c r="A14" s="10" t="s">
        <v>8</v>
      </c>
      <c r="B14" s="10"/>
      <c r="C14" s="10" t="s">
        <v>37</v>
      </c>
      <c r="D14" s="10" t="s">
        <v>72</v>
      </c>
      <c r="E14" s="10" t="s">
        <v>109</v>
      </c>
      <c r="F14" s="32">
        <v>0.78</v>
      </c>
      <c r="G14" s="32">
        <v>560</v>
      </c>
      <c r="H14" s="32">
        <f>ROUND(F14*AE14,2)</f>
        <v>436.8</v>
      </c>
      <c r="I14" s="32">
        <f>J14-H14</f>
        <v>0</v>
      </c>
      <c r="J14" s="32">
        <f>ROUND(F14*G14,2)</f>
        <v>436.8</v>
      </c>
      <c r="K14" s="32">
        <v>0.00295</v>
      </c>
      <c r="L14" s="32">
        <f>F14*K14</f>
        <v>0.002301</v>
      </c>
      <c r="N14" s="52" t="s">
        <v>7</v>
      </c>
      <c r="O14" s="32">
        <f>IF(N14="5",I14,0)</f>
        <v>0</v>
      </c>
      <c r="Z14" s="32">
        <f>IF(AD14=0,J14,0)</f>
        <v>0</v>
      </c>
      <c r="AA14" s="32">
        <f>IF(AD14=15,J14,0)</f>
        <v>0</v>
      </c>
      <c r="AB14" s="32">
        <f>IF(AD14=21,J14,0)</f>
        <v>436.8</v>
      </c>
      <c r="AD14" s="54">
        <v>21</v>
      </c>
      <c r="AE14" s="54">
        <f>G14*1</f>
        <v>560</v>
      </c>
      <c r="AF14" s="54">
        <f>G14*(1-1)</f>
        <v>0</v>
      </c>
    </row>
    <row r="15" spans="1:37" ht="12.75">
      <c r="A15" s="11"/>
      <c r="B15" s="11"/>
      <c r="C15" s="22" t="s">
        <v>38</v>
      </c>
      <c r="D15" s="27" t="s">
        <v>73</v>
      </c>
      <c r="E15" s="30"/>
      <c r="F15" s="30"/>
      <c r="G15" s="30"/>
      <c r="H15" s="56">
        <f>SUM(H16:H21)</f>
        <v>1625.28</v>
      </c>
      <c r="I15" s="56">
        <f>SUM(I16:I21)</f>
        <v>7248.750000000001</v>
      </c>
      <c r="J15" s="56">
        <f>H15+I15</f>
        <v>8874.03</v>
      </c>
      <c r="K15" s="46"/>
      <c r="L15" s="56">
        <f>SUM(L16:L21)</f>
        <v>0.0350608</v>
      </c>
      <c r="P15" s="56">
        <f>IF(Q15="PR",J15,SUM(O16:O21))</f>
        <v>0</v>
      </c>
      <c r="Q15" s="46" t="s">
        <v>132</v>
      </c>
      <c r="R15" s="56">
        <f>IF(Q15="HS",H15,0)</f>
        <v>0</v>
      </c>
      <c r="S15" s="56">
        <f>IF(Q15="HS",I15-P15,0)</f>
        <v>0</v>
      </c>
      <c r="T15" s="56">
        <f>IF(Q15="PS",H15,0)</f>
        <v>1625.28</v>
      </c>
      <c r="U15" s="56">
        <f>IF(Q15="PS",I15-P15,0)</f>
        <v>7248.750000000001</v>
      </c>
      <c r="V15" s="56">
        <f>IF(Q15="MP",H15,0)</f>
        <v>0</v>
      </c>
      <c r="W15" s="56">
        <f>IF(Q15="MP",I15-P15,0)</f>
        <v>0</v>
      </c>
      <c r="X15" s="56">
        <f>IF(Q15="OM",H15,0)</f>
        <v>0</v>
      </c>
      <c r="Y15" s="46"/>
      <c r="AI15" s="56">
        <f>SUM(Z16:Z21)</f>
        <v>0</v>
      </c>
      <c r="AJ15" s="56">
        <f>SUM(AA16:AA21)</f>
        <v>0</v>
      </c>
      <c r="AK15" s="56">
        <f>SUM(AB16:AB21)</f>
        <v>8874.03</v>
      </c>
    </row>
    <row r="16" spans="1:32" ht="12.75">
      <c r="A16" s="10" t="s">
        <v>9</v>
      </c>
      <c r="B16" s="10"/>
      <c r="C16" s="10" t="s">
        <v>39</v>
      </c>
      <c r="D16" s="10" t="s">
        <v>74</v>
      </c>
      <c r="E16" s="10" t="s">
        <v>108</v>
      </c>
      <c r="F16" s="32">
        <v>25.86</v>
      </c>
      <c r="G16" s="32">
        <v>70.83</v>
      </c>
      <c r="H16" s="32">
        <f aca="true" t="shared" si="0" ref="H16:H21">ROUND(F16*AE16,2)</f>
        <v>0</v>
      </c>
      <c r="I16" s="32">
        <f aca="true" t="shared" si="1" ref="I16:I21">J16-H16</f>
        <v>1831.66</v>
      </c>
      <c r="J16" s="32">
        <f aca="true" t="shared" si="2" ref="J16:J21">ROUND(F16*G16,2)</f>
        <v>1831.66</v>
      </c>
      <c r="K16" s="32">
        <v>0.001</v>
      </c>
      <c r="L16" s="32">
        <f aca="true" t="shared" si="3" ref="L16:L21">F16*K16</f>
        <v>0.02586</v>
      </c>
      <c r="N16" s="52" t="s">
        <v>9</v>
      </c>
      <c r="O16" s="32">
        <f aca="true" t="shared" si="4" ref="O16:O21">IF(N16="5",I16,0)</f>
        <v>0</v>
      </c>
      <c r="Z16" s="32">
        <f aca="true" t="shared" si="5" ref="Z16:Z21">IF(AD16=0,J16,0)</f>
        <v>0</v>
      </c>
      <c r="AA16" s="32">
        <f aca="true" t="shared" si="6" ref="AA16:AA21">IF(AD16=15,J16,0)</f>
        <v>0</v>
      </c>
      <c r="AB16" s="32">
        <f aca="true" t="shared" si="7" ref="AB16:AB21">IF(AD16=21,J16,0)</f>
        <v>1831.66</v>
      </c>
      <c r="AD16" s="54">
        <v>21</v>
      </c>
      <c r="AE16" s="54">
        <f>G16*0</f>
        <v>0</v>
      </c>
      <c r="AF16" s="54">
        <f>G16*(1-0)</f>
        <v>70.83</v>
      </c>
    </row>
    <row r="17" spans="1:32" ht="12.75">
      <c r="A17" s="10" t="s">
        <v>10</v>
      </c>
      <c r="B17" s="10"/>
      <c r="C17" s="10" t="s">
        <v>40</v>
      </c>
      <c r="D17" s="10" t="s">
        <v>75</v>
      </c>
      <c r="E17" s="10" t="s">
        <v>108</v>
      </c>
      <c r="F17" s="32">
        <v>25.86</v>
      </c>
      <c r="G17" s="32">
        <v>131.32</v>
      </c>
      <c r="H17" s="32">
        <f t="shared" si="0"/>
        <v>1521.34</v>
      </c>
      <c r="I17" s="32">
        <f t="shared" si="1"/>
        <v>1874.6000000000001</v>
      </c>
      <c r="J17" s="32">
        <f t="shared" si="2"/>
        <v>3395.94</v>
      </c>
      <c r="K17" s="32">
        <v>0.00034</v>
      </c>
      <c r="L17" s="32">
        <f t="shared" si="3"/>
        <v>0.0087924</v>
      </c>
      <c r="N17" s="52" t="s">
        <v>7</v>
      </c>
      <c r="O17" s="32">
        <f t="shared" si="4"/>
        <v>0</v>
      </c>
      <c r="Z17" s="32">
        <f t="shared" si="5"/>
        <v>0</v>
      </c>
      <c r="AA17" s="32">
        <f t="shared" si="6"/>
        <v>0</v>
      </c>
      <c r="AB17" s="32">
        <f t="shared" si="7"/>
        <v>3395.94</v>
      </c>
      <c r="AD17" s="54">
        <v>21</v>
      </c>
      <c r="AE17" s="54">
        <f>G17*0.447989643618642</f>
        <v>58.83000000000007</v>
      </c>
      <c r="AF17" s="54">
        <f>G17*(1-0.447989643618642)</f>
        <v>72.48999999999992</v>
      </c>
    </row>
    <row r="18" spans="1:32" ht="12.75">
      <c r="A18" s="10" t="s">
        <v>11</v>
      </c>
      <c r="B18" s="10"/>
      <c r="C18" s="10" t="s">
        <v>41</v>
      </c>
      <c r="D18" s="10" t="s">
        <v>76</v>
      </c>
      <c r="E18" s="10" t="s">
        <v>110</v>
      </c>
      <c r="F18" s="32">
        <v>20.42</v>
      </c>
      <c r="G18" s="32">
        <v>31.25</v>
      </c>
      <c r="H18" s="32">
        <f t="shared" si="0"/>
        <v>103.94</v>
      </c>
      <c r="I18" s="32">
        <f t="shared" si="1"/>
        <v>534.19</v>
      </c>
      <c r="J18" s="32">
        <f t="shared" si="2"/>
        <v>638.13</v>
      </c>
      <c r="K18" s="32">
        <v>2E-05</v>
      </c>
      <c r="L18" s="32">
        <f t="shared" si="3"/>
        <v>0.00040840000000000006</v>
      </c>
      <c r="N18" s="52" t="s">
        <v>7</v>
      </c>
      <c r="O18" s="32">
        <f t="shared" si="4"/>
        <v>0</v>
      </c>
      <c r="Z18" s="32">
        <f t="shared" si="5"/>
        <v>0</v>
      </c>
      <c r="AA18" s="32">
        <f t="shared" si="6"/>
        <v>0</v>
      </c>
      <c r="AB18" s="32">
        <f t="shared" si="7"/>
        <v>638.13</v>
      </c>
      <c r="AD18" s="54">
        <v>21</v>
      </c>
      <c r="AE18" s="54">
        <f>G18*0.16288</f>
        <v>5.09</v>
      </c>
      <c r="AF18" s="54">
        <f>G18*(1-0.16288)</f>
        <v>26.16</v>
      </c>
    </row>
    <row r="19" spans="1:32" ht="12.75">
      <c r="A19" s="10" t="s">
        <v>12</v>
      </c>
      <c r="B19" s="10"/>
      <c r="C19" s="10" t="s">
        <v>42</v>
      </c>
      <c r="D19" s="10" t="s">
        <v>77</v>
      </c>
      <c r="E19" s="10" t="s">
        <v>108</v>
      </c>
      <c r="F19" s="32">
        <v>25.86</v>
      </c>
      <c r="G19" s="32">
        <v>96.37</v>
      </c>
      <c r="H19" s="32">
        <f t="shared" si="0"/>
        <v>0</v>
      </c>
      <c r="I19" s="32">
        <f t="shared" si="1"/>
        <v>2492.13</v>
      </c>
      <c r="J19" s="32">
        <f t="shared" si="2"/>
        <v>2492.13</v>
      </c>
      <c r="K19" s="32">
        <v>0</v>
      </c>
      <c r="L19" s="32">
        <f t="shared" si="3"/>
        <v>0</v>
      </c>
      <c r="N19" s="52" t="s">
        <v>7</v>
      </c>
      <c r="O19" s="32">
        <f t="shared" si="4"/>
        <v>0</v>
      </c>
      <c r="Z19" s="32">
        <f t="shared" si="5"/>
        <v>0</v>
      </c>
      <c r="AA19" s="32">
        <f t="shared" si="6"/>
        <v>0</v>
      </c>
      <c r="AB19" s="32">
        <f t="shared" si="7"/>
        <v>2492.13</v>
      </c>
      <c r="AD19" s="54">
        <v>21</v>
      </c>
      <c r="AE19" s="54">
        <f>G19*0</f>
        <v>0</v>
      </c>
      <c r="AF19" s="54">
        <f>G19*(1-0)</f>
        <v>96.37</v>
      </c>
    </row>
    <row r="20" spans="1:32" ht="12.75">
      <c r="A20" s="10" t="s">
        <v>13</v>
      </c>
      <c r="B20" s="10"/>
      <c r="C20" s="10" t="s">
        <v>43</v>
      </c>
      <c r="D20" s="10" t="s">
        <v>78</v>
      </c>
      <c r="E20" s="10" t="s">
        <v>108</v>
      </c>
      <c r="F20" s="32">
        <v>25.86</v>
      </c>
      <c r="G20" s="32">
        <v>14.5</v>
      </c>
      <c r="H20" s="32">
        <f t="shared" si="0"/>
        <v>0</v>
      </c>
      <c r="I20" s="32">
        <f t="shared" si="1"/>
        <v>374.97</v>
      </c>
      <c r="J20" s="32">
        <f t="shared" si="2"/>
        <v>374.97</v>
      </c>
      <c r="K20" s="32">
        <v>0</v>
      </c>
      <c r="L20" s="32">
        <f t="shared" si="3"/>
        <v>0</v>
      </c>
      <c r="N20" s="52" t="s">
        <v>7</v>
      </c>
      <c r="O20" s="32">
        <f t="shared" si="4"/>
        <v>0</v>
      </c>
      <c r="Z20" s="32">
        <f t="shared" si="5"/>
        <v>0</v>
      </c>
      <c r="AA20" s="32">
        <f t="shared" si="6"/>
        <v>0</v>
      </c>
      <c r="AB20" s="32">
        <f t="shared" si="7"/>
        <v>374.97</v>
      </c>
      <c r="AD20" s="54">
        <v>21</v>
      </c>
      <c r="AE20" s="54">
        <f>G20*0</f>
        <v>0</v>
      </c>
      <c r="AF20" s="54">
        <f>G20*(1-0)</f>
        <v>14.5</v>
      </c>
    </row>
    <row r="21" spans="1:32" ht="12.75">
      <c r="A21" s="10" t="s">
        <v>14</v>
      </c>
      <c r="B21" s="10"/>
      <c r="C21" s="10" t="s">
        <v>44</v>
      </c>
      <c r="D21" s="10" t="s">
        <v>79</v>
      </c>
      <c r="E21" s="10" t="s">
        <v>108</v>
      </c>
      <c r="F21" s="32">
        <v>25.86</v>
      </c>
      <c r="G21" s="32">
        <v>5.46</v>
      </c>
      <c r="H21" s="32">
        <f t="shared" si="0"/>
        <v>0</v>
      </c>
      <c r="I21" s="32">
        <f t="shared" si="1"/>
        <v>141.2</v>
      </c>
      <c r="J21" s="32">
        <f t="shared" si="2"/>
        <v>141.2</v>
      </c>
      <c r="K21" s="32">
        <v>0</v>
      </c>
      <c r="L21" s="32">
        <f t="shared" si="3"/>
        <v>0</v>
      </c>
      <c r="N21" s="52" t="s">
        <v>7</v>
      </c>
      <c r="O21" s="32">
        <f t="shared" si="4"/>
        <v>0</v>
      </c>
      <c r="Z21" s="32">
        <f t="shared" si="5"/>
        <v>0</v>
      </c>
      <c r="AA21" s="32">
        <f t="shared" si="6"/>
        <v>0</v>
      </c>
      <c r="AB21" s="32">
        <f t="shared" si="7"/>
        <v>141.2</v>
      </c>
      <c r="AD21" s="54">
        <v>21</v>
      </c>
      <c r="AE21" s="54">
        <f>G21*0</f>
        <v>0</v>
      </c>
      <c r="AF21" s="54">
        <f>G21*(1-0)</f>
        <v>5.46</v>
      </c>
    </row>
    <row r="22" spans="1:37" ht="12.75">
      <c r="A22" s="11"/>
      <c r="B22" s="11"/>
      <c r="C22" s="22" t="s">
        <v>45</v>
      </c>
      <c r="D22" s="27" t="s">
        <v>80</v>
      </c>
      <c r="E22" s="30"/>
      <c r="F22" s="30"/>
      <c r="G22" s="30"/>
      <c r="H22" s="56">
        <f>SUM(H23:H30)</f>
        <v>4232.23</v>
      </c>
      <c r="I22" s="56">
        <f>SUM(I23:I30)</f>
        <v>15585.36</v>
      </c>
      <c r="J22" s="56">
        <f>H22+I22</f>
        <v>19817.59</v>
      </c>
      <c r="K22" s="46"/>
      <c r="L22" s="56">
        <f>SUM(L23:L30)</f>
        <v>0.0879424</v>
      </c>
      <c r="P22" s="56">
        <f>IF(Q22="PR",J22,SUM(O23:O30))</f>
        <v>0</v>
      </c>
      <c r="Q22" s="46" t="s">
        <v>132</v>
      </c>
      <c r="R22" s="56">
        <f>IF(Q22="HS",H22,0)</f>
        <v>0</v>
      </c>
      <c r="S22" s="56">
        <f>IF(Q22="HS",I22-P22,0)</f>
        <v>0</v>
      </c>
      <c r="T22" s="56">
        <f>IF(Q22="PS",H22,0)</f>
        <v>4232.23</v>
      </c>
      <c r="U22" s="56">
        <f>IF(Q22="PS",I22-P22,0)</f>
        <v>15585.36</v>
      </c>
      <c r="V22" s="56">
        <f>IF(Q22="MP",H22,0)</f>
        <v>0</v>
      </c>
      <c r="W22" s="56">
        <f>IF(Q22="MP",I22-P22,0)</f>
        <v>0</v>
      </c>
      <c r="X22" s="56">
        <f>IF(Q22="OM",H22,0)</f>
        <v>0</v>
      </c>
      <c r="Y22" s="46"/>
      <c r="AI22" s="56">
        <f>SUM(Z23:Z30)</f>
        <v>0</v>
      </c>
      <c r="AJ22" s="56">
        <f>SUM(AA23:AA30)</f>
        <v>0</v>
      </c>
      <c r="AK22" s="56">
        <f>SUM(AB23:AB30)</f>
        <v>19817.59</v>
      </c>
    </row>
    <row r="23" spans="1:32" ht="12.75">
      <c r="A23" s="10" t="s">
        <v>15</v>
      </c>
      <c r="B23" s="10"/>
      <c r="C23" s="10" t="s">
        <v>46</v>
      </c>
      <c r="D23" s="10" t="s">
        <v>81</v>
      </c>
      <c r="E23" s="10" t="s">
        <v>108</v>
      </c>
      <c r="F23" s="32">
        <v>137.41</v>
      </c>
      <c r="G23" s="32">
        <v>52.31</v>
      </c>
      <c r="H23" s="32">
        <f aca="true" t="shared" si="8" ref="H23:H30">ROUND(F23*AE23,2)</f>
        <v>3028.52</v>
      </c>
      <c r="I23" s="32">
        <f aca="true" t="shared" si="9" ref="I23:I30">J23-H23</f>
        <v>4159.4</v>
      </c>
      <c r="J23" s="32">
        <f aca="true" t="shared" si="10" ref="J23:J30">ROUND(F23*G23,2)</f>
        <v>7187.92</v>
      </c>
      <c r="K23" s="32">
        <v>0.00046</v>
      </c>
      <c r="L23" s="32">
        <f aca="true" t="shared" si="11" ref="L23:L30">F23*K23</f>
        <v>0.0632086</v>
      </c>
      <c r="N23" s="52" t="s">
        <v>7</v>
      </c>
      <c r="O23" s="32">
        <f aca="true" t="shared" si="12" ref="O23:O30">IF(N23="5",I23,0)</f>
        <v>0</v>
      </c>
      <c r="Z23" s="32">
        <f aca="true" t="shared" si="13" ref="Z23:Z30">IF(AD23=0,J23,0)</f>
        <v>0</v>
      </c>
      <c r="AA23" s="32">
        <f aca="true" t="shared" si="14" ref="AA23:AA30">IF(AD23=15,J23,0)</f>
        <v>0</v>
      </c>
      <c r="AB23" s="32">
        <f aca="true" t="shared" si="15" ref="AB23:AB30">IF(AD23=21,J23,0)</f>
        <v>7187.92</v>
      </c>
      <c r="AD23" s="54">
        <v>21</v>
      </c>
      <c r="AE23" s="54">
        <f>G23*0.421334352896196</f>
        <v>22.040000000000013</v>
      </c>
      <c r="AF23" s="54">
        <f>G23*(1-0.421334352896196)</f>
        <v>30.269999999999992</v>
      </c>
    </row>
    <row r="24" spans="1:32" ht="12.75">
      <c r="A24" s="10" t="s">
        <v>16</v>
      </c>
      <c r="B24" s="10"/>
      <c r="C24" s="10" t="s">
        <v>47</v>
      </c>
      <c r="D24" s="10" t="s">
        <v>82</v>
      </c>
      <c r="E24" s="10" t="s">
        <v>108</v>
      </c>
      <c r="F24" s="32">
        <v>137.41</v>
      </c>
      <c r="G24" s="32">
        <v>18.33</v>
      </c>
      <c r="H24" s="32">
        <f t="shared" si="8"/>
        <v>1192.72</v>
      </c>
      <c r="I24" s="32">
        <f t="shared" si="9"/>
        <v>1326.01</v>
      </c>
      <c r="J24" s="32">
        <f t="shared" si="10"/>
        <v>2518.73</v>
      </c>
      <c r="K24" s="32">
        <v>0.00018</v>
      </c>
      <c r="L24" s="32">
        <f t="shared" si="11"/>
        <v>0.0247338</v>
      </c>
      <c r="N24" s="52" t="s">
        <v>7</v>
      </c>
      <c r="O24" s="32">
        <f t="shared" si="12"/>
        <v>0</v>
      </c>
      <c r="Z24" s="32">
        <f t="shared" si="13"/>
        <v>0</v>
      </c>
      <c r="AA24" s="32">
        <f t="shared" si="14"/>
        <v>0</v>
      </c>
      <c r="AB24" s="32">
        <f t="shared" si="15"/>
        <v>2518.73</v>
      </c>
      <c r="AD24" s="54">
        <v>21</v>
      </c>
      <c r="AE24" s="54">
        <f>G24*0.47354064375341</f>
        <v>8.680000000000005</v>
      </c>
      <c r="AF24" s="54">
        <f>G24*(1-0.47354064375341)</f>
        <v>9.649999999999993</v>
      </c>
    </row>
    <row r="25" spans="1:32" ht="12.75">
      <c r="A25" s="10" t="s">
        <v>17</v>
      </c>
      <c r="B25" s="10"/>
      <c r="C25" s="10" t="s">
        <v>48</v>
      </c>
      <c r="D25" s="10" t="s">
        <v>83</v>
      </c>
      <c r="E25" s="10" t="s">
        <v>108</v>
      </c>
      <c r="F25" s="32">
        <v>137.41</v>
      </c>
      <c r="G25" s="32">
        <v>12.92</v>
      </c>
      <c r="H25" s="32">
        <f t="shared" si="8"/>
        <v>10.99</v>
      </c>
      <c r="I25" s="32">
        <f t="shared" si="9"/>
        <v>1764.35</v>
      </c>
      <c r="J25" s="32">
        <f t="shared" si="10"/>
        <v>1775.34</v>
      </c>
      <c r="K25" s="32">
        <v>0</v>
      </c>
      <c r="L25" s="32">
        <f t="shared" si="11"/>
        <v>0</v>
      </c>
      <c r="N25" s="52" t="s">
        <v>7</v>
      </c>
      <c r="O25" s="32">
        <f t="shared" si="12"/>
        <v>0</v>
      </c>
      <c r="Z25" s="32">
        <f t="shared" si="13"/>
        <v>0</v>
      </c>
      <c r="AA25" s="32">
        <f t="shared" si="14"/>
        <v>0</v>
      </c>
      <c r="AB25" s="32">
        <f t="shared" si="15"/>
        <v>1775.34</v>
      </c>
      <c r="AD25" s="54">
        <v>21</v>
      </c>
      <c r="AE25" s="54">
        <f>G25*0.00619195046439629</f>
        <v>0.08000000000000007</v>
      </c>
      <c r="AF25" s="54">
        <f>G25*(1-0.00619195046439629)</f>
        <v>12.84</v>
      </c>
    </row>
    <row r="26" spans="1:32" ht="12.75">
      <c r="A26" s="10" t="s">
        <v>18</v>
      </c>
      <c r="B26" s="10"/>
      <c r="C26" s="10" t="s">
        <v>49</v>
      </c>
      <c r="D26" s="10" t="s">
        <v>84</v>
      </c>
      <c r="E26" s="10" t="s">
        <v>108</v>
      </c>
      <c r="F26" s="32">
        <v>3.6</v>
      </c>
      <c r="G26" s="32">
        <v>346</v>
      </c>
      <c r="H26" s="32">
        <f t="shared" si="8"/>
        <v>0</v>
      </c>
      <c r="I26" s="32">
        <f t="shared" si="9"/>
        <v>1245.6</v>
      </c>
      <c r="J26" s="32">
        <f t="shared" si="10"/>
        <v>1245.6</v>
      </c>
      <c r="K26" s="32">
        <v>0</v>
      </c>
      <c r="L26" s="32">
        <f t="shared" si="11"/>
        <v>0</v>
      </c>
      <c r="N26" s="52" t="s">
        <v>7</v>
      </c>
      <c r="O26" s="32">
        <f t="shared" si="12"/>
        <v>0</v>
      </c>
      <c r="Z26" s="32">
        <f t="shared" si="13"/>
        <v>0</v>
      </c>
      <c r="AA26" s="32">
        <f t="shared" si="14"/>
        <v>0</v>
      </c>
      <c r="AB26" s="32">
        <f t="shared" si="15"/>
        <v>1245.6</v>
      </c>
      <c r="AD26" s="54">
        <v>21</v>
      </c>
      <c r="AE26" s="54">
        <f>G26*0</f>
        <v>0</v>
      </c>
      <c r="AF26" s="54">
        <f>G26*(1-0)</f>
        <v>346</v>
      </c>
    </row>
    <row r="27" spans="1:32" ht="12.75">
      <c r="A27" s="10" t="s">
        <v>19</v>
      </c>
      <c r="B27" s="10"/>
      <c r="C27" s="10" t="s">
        <v>50</v>
      </c>
      <c r="D27" s="10" t="s">
        <v>85</v>
      </c>
      <c r="E27" s="10" t="s">
        <v>111</v>
      </c>
      <c r="F27" s="32">
        <v>1</v>
      </c>
      <c r="G27" s="32">
        <v>1260</v>
      </c>
      <c r="H27" s="32">
        <f t="shared" si="8"/>
        <v>0</v>
      </c>
      <c r="I27" s="32">
        <f t="shared" si="9"/>
        <v>1260</v>
      </c>
      <c r="J27" s="32">
        <f t="shared" si="10"/>
        <v>1260</v>
      </c>
      <c r="K27" s="32">
        <v>0</v>
      </c>
      <c r="L27" s="32">
        <f t="shared" si="11"/>
        <v>0</v>
      </c>
      <c r="N27" s="52" t="s">
        <v>7</v>
      </c>
      <c r="O27" s="32">
        <f t="shared" si="12"/>
        <v>0</v>
      </c>
      <c r="Z27" s="32">
        <f t="shared" si="13"/>
        <v>0</v>
      </c>
      <c r="AA27" s="32">
        <f t="shared" si="14"/>
        <v>0</v>
      </c>
      <c r="AB27" s="32">
        <f t="shared" si="15"/>
        <v>1260</v>
      </c>
      <c r="AD27" s="54">
        <v>21</v>
      </c>
      <c r="AE27" s="54">
        <f>G27*0</f>
        <v>0</v>
      </c>
      <c r="AF27" s="54">
        <f>G27*(1-0)</f>
        <v>1260</v>
      </c>
    </row>
    <row r="28" spans="1:32" ht="12.75">
      <c r="A28" s="10" t="s">
        <v>20</v>
      </c>
      <c r="B28" s="10"/>
      <c r="C28" s="10" t="s">
        <v>51</v>
      </c>
      <c r="D28" s="10" t="s">
        <v>86</v>
      </c>
      <c r="E28" s="10" t="s">
        <v>111</v>
      </c>
      <c r="F28" s="32">
        <v>2</v>
      </c>
      <c r="G28" s="32">
        <v>640</v>
      </c>
      <c r="H28" s="32">
        <f t="shared" si="8"/>
        <v>0</v>
      </c>
      <c r="I28" s="32">
        <f t="shared" si="9"/>
        <v>1280</v>
      </c>
      <c r="J28" s="32">
        <f t="shared" si="10"/>
        <v>1280</v>
      </c>
      <c r="K28" s="32">
        <v>0</v>
      </c>
      <c r="L28" s="32">
        <f t="shared" si="11"/>
        <v>0</v>
      </c>
      <c r="N28" s="52" t="s">
        <v>7</v>
      </c>
      <c r="O28" s="32">
        <f t="shared" si="12"/>
        <v>0</v>
      </c>
      <c r="Z28" s="32">
        <f t="shared" si="13"/>
        <v>0</v>
      </c>
      <c r="AA28" s="32">
        <f t="shared" si="14"/>
        <v>0</v>
      </c>
      <c r="AB28" s="32">
        <f t="shared" si="15"/>
        <v>1280</v>
      </c>
      <c r="AD28" s="54">
        <v>21</v>
      </c>
      <c r="AE28" s="54">
        <f>G28*0</f>
        <v>0</v>
      </c>
      <c r="AF28" s="54">
        <f>G28*(1-0)</f>
        <v>640</v>
      </c>
    </row>
    <row r="29" spans="1:32" ht="12.75">
      <c r="A29" s="10" t="s">
        <v>21</v>
      </c>
      <c r="B29" s="10"/>
      <c r="C29" s="10" t="s">
        <v>52</v>
      </c>
      <c r="D29" s="10" t="s">
        <v>87</v>
      </c>
      <c r="E29" s="10" t="s">
        <v>112</v>
      </c>
      <c r="F29" s="32">
        <v>1</v>
      </c>
      <c r="G29" s="32">
        <v>2690</v>
      </c>
      <c r="H29" s="32">
        <f t="shared" si="8"/>
        <v>0</v>
      </c>
      <c r="I29" s="32">
        <f t="shared" si="9"/>
        <v>2690</v>
      </c>
      <c r="J29" s="32">
        <f t="shared" si="10"/>
        <v>2690</v>
      </c>
      <c r="K29" s="32">
        <v>0</v>
      </c>
      <c r="L29" s="32">
        <f t="shared" si="11"/>
        <v>0</v>
      </c>
      <c r="N29" s="52" t="s">
        <v>7</v>
      </c>
      <c r="O29" s="32">
        <f t="shared" si="12"/>
        <v>0</v>
      </c>
      <c r="Z29" s="32">
        <f t="shared" si="13"/>
        <v>0</v>
      </c>
      <c r="AA29" s="32">
        <f t="shared" si="14"/>
        <v>0</v>
      </c>
      <c r="AB29" s="32">
        <f t="shared" si="15"/>
        <v>2690</v>
      </c>
      <c r="AD29" s="54">
        <v>21</v>
      </c>
      <c r="AE29" s="54">
        <f>G29*0</f>
        <v>0</v>
      </c>
      <c r="AF29" s="54">
        <f>G29*(1-0)</f>
        <v>2690</v>
      </c>
    </row>
    <row r="30" spans="1:32" ht="12.75">
      <c r="A30" s="10" t="s">
        <v>22</v>
      </c>
      <c r="B30" s="10"/>
      <c r="C30" s="10" t="s">
        <v>53</v>
      </c>
      <c r="D30" s="10" t="s">
        <v>88</v>
      </c>
      <c r="E30" s="10" t="s">
        <v>112</v>
      </c>
      <c r="F30" s="32">
        <v>1</v>
      </c>
      <c r="G30" s="32">
        <v>1860</v>
      </c>
      <c r="H30" s="32">
        <f t="shared" si="8"/>
        <v>0</v>
      </c>
      <c r="I30" s="32">
        <f t="shared" si="9"/>
        <v>1860</v>
      </c>
      <c r="J30" s="32">
        <f t="shared" si="10"/>
        <v>1860</v>
      </c>
      <c r="K30" s="32">
        <v>0</v>
      </c>
      <c r="L30" s="32">
        <f t="shared" si="11"/>
        <v>0</v>
      </c>
      <c r="N30" s="52" t="s">
        <v>7</v>
      </c>
      <c r="O30" s="32">
        <f t="shared" si="12"/>
        <v>0</v>
      </c>
      <c r="Z30" s="32">
        <f t="shared" si="13"/>
        <v>0</v>
      </c>
      <c r="AA30" s="32">
        <f t="shared" si="14"/>
        <v>0</v>
      </c>
      <c r="AB30" s="32">
        <f t="shared" si="15"/>
        <v>1860</v>
      </c>
      <c r="AD30" s="54">
        <v>21</v>
      </c>
      <c r="AE30" s="54">
        <f>G30*0</f>
        <v>0</v>
      </c>
      <c r="AF30" s="54">
        <f>G30*(1-0)</f>
        <v>1860</v>
      </c>
    </row>
    <row r="31" spans="1:37" ht="12.75">
      <c r="A31" s="11"/>
      <c r="B31" s="11"/>
      <c r="C31" s="22" t="s">
        <v>54</v>
      </c>
      <c r="D31" s="27" t="s">
        <v>89</v>
      </c>
      <c r="E31" s="30"/>
      <c r="F31" s="30"/>
      <c r="G31" s="30"/>
      <c r="H31" s="56">
        <f>SUM(H32:H35)</f>
        <v>51.95</v>
      </c>
      <c r="I31" s="56">
        <f>SUM(I32:I35)</f>
        <v>760.2</v>
      </c>
      <c r="J31" s="56">
        <f>H31+I31</f>
        <v>812.1500000000001</v>
      </c>
      <c r="K31" s="46"/>
      <c r="L31" s="56">
        <f>SUM(L32:L35)</f>
        <v>0.000252</v>
      </c>
      <c r="P31" s="56">
        <f>IF(Q31="PR",J31,SUM(O32:O35))</f>
        <v>0</v>
      </c>
      <c r="Q31" s="46" t="s">
        <v>133</v>
      </c>
      <c r="R31" s="56">
        <f>IF(Q31="HS",H31,0)</f>
        <v>51.95</v>
      </c>
      <c r="S31" s="56">
        <f>IF(Q31="HS",I31-P31,0)</f>
        <v>760.2</v>
      </c>
      <c r="T31" s="56">
        <f>IF(Q31="PS",H31,0)</f>
        <v>0</v>
      </c>
      <c r="U31" s="56">
        <f>IF(Q31="PS",I31-P31,0)</f>
        <v>0</v>
      </c>
      <c r="V31" s="56">
        <f>IF(Q31="MP",H31,0)</f>
        <v>0</v>
      </c>
      <c r="W31" s="56">
        <f>IF(Q31="MP",I31-P31,0)</f>
        <v>0</v>
      </c>
      <c r="X31" s="56">
        <f>IF(Q31="OM",H31,0)</f>
        <v>0</v>
      </c>
      <c r="Y31" s="46"/>
      <c r="AI31" s="56">
        <f>SUM(Z32:Z35)</f>
        <v>0</v>
      </c>
      <c r="AJ31" s="56">
        <f>SUM(AA32:AA35)</f>
        <v>0</v>
      </c>
      <c r="AK31" s="56">
        <f>SUM(AB32:AB35)</f>
        <v>812.15</v>
      </c>
    </row>
    <row r="32" spans="1:32" ht="12.75">
      <c r="A32" s="10" t="s">
        <v>23</v>
      </c>
      <c r="B32" s="10"/>
      <c r="C32" s="10" t="s">
        <v>55</v>
      </c>
      <c r="D32" s="10" t="s">
        <v>90</v>
      </c>
      <c r="E32" s="10" t="s">
        <v>108</v>
      </c>
      <c r="F32" s="32">
        <v>3.6</v>
      </c>
      <c r="G32" s="32">
        <v>33.91</v>
      </c>
      <c r="H32" s="32">
        <f>ROUND(F32*AE32,2)</f>
        <v>49</v>
      </c>
      <c r="I32" s="32">
        <f>J32-H32</f>
        <v>73.08</v>
      </c>
      <c r="J32" s="32">
        <f>ROUND(F32*G32,2)</f>
        <v>122.08</v>
      </c>
      <c r="K32" s="32">
        <v>4E-05</v>
      </c>
      <c r="L32" s="32">
        <f>F32*K32</f>
        <v>0.000144</v>
      </c>
      <c r="N32" s="52" t="s">
        <v>7</v>
      </c>
      <c r="O32" s="32">
        <f>IF(N32="5",I32,0)</f>
        <v>0</v>
      </c>
      <c r="Z32" s="32">
        <f>IF(AD32=0,J32,0)</f>
        <v>0</v>
      </c>
      <c r="AA32" s="32">
        <f>IF(AD32=15,J32,0)</f>
        <v>0</v>
      </c>
      <c r="AB32" s="32">
        <f>IF(AD32=21,J32,0)</f>
        <v>122.08</v>
      </c>
      <c r="AD32" s="54">
        <v>21</v>
      </c>
      <c r="AE32" s="54">
        <f>G32*0.401356531996461</f>
        <v>13.60999999999999</v>
      </c>
      <c r="AF32" s="54">
        <f>G32*(1-0.401356531996461)</f>
        <v>20.300000000000008</v>
      </c>
    </row>
    <row r="33" spans="1:32" ht="12.75">
      <c r="A33" s="10" t="s">
        <v>24</v>
      </c>
      <c r="B33" s="10"/>
      <c r="C33" s="10" t="s">
        <v>56</v>
      </c>
      <c r="D33" s="10" t="s">
        <v>91</v>
      </c>
      <c r="E33" s="10" t="s">
        <v>108</v>
      </c>
      <c r="F33" s="32">
        <v>25.86</v>
      </c>
      <c r="G33" s="32">
        <v>5</v>
      </c>
      <c r="H33" s="32">
        <f>ROUND(F33*AE33,2)</f>
        <v>0</v>
      </c>
      <c r="I33" s="32">
        <f>J33-H33</f>
        <v>129.3</v>
      </c>
      <c r="J33" s="32">
        <f>ROUND(F33*G33,2)</f>
        <v>129.3</v>
      </c>
      <c r="K33" s="32">
        <v>0</v>
      </c>
      <c r="L33" s="32">
        <f>F33*K33</f>
        <v>0</v>
      </c>
      <c r="N33" s="52" t="s">
        <v>7</v>
      </c>
      <c r="O33" s="32">
        <f>IF(N33="5",I33,0)</f>
        <v>0</v>
      </c>
      <c r="Z33" s="32">
        <f>IF(AD33=0,J33,0)</f>
        <v>0</v>
      </c>
      <c r="AA33" s="32">
        <f>IF(AD33=15,J33,0)</f>
        <v>0</v>
      </c>
      <c r="AB33" s="32">
        <f>IF(AD33=21,J33,0)</f>
        <v>129.3</v>
      </c>
      <c r="AD33" s="54">
        <v>21</v>
      </c>
      <c r="AE33" s="54">
        <f>G33*0</f>
        <v>0</v>
      </c>
      <c r="AF33" s="54">
        <f>G33*(1-0)</f>
        <v>5</v>
      </c>
    </row>
    <row r="34" spans="1:32" ht="12.75">
      <c r="A34" s="10" t="s">
        <v>25</v>
      </c>
      <c r="B34" s="10"/>
      <c r="C34" s="10" t="s">
        <v>57</v>
      </c>
      <c r="D34" s="10" t="s">
        <v>92</v>
      </c>
      <c r="E34" s="10" t="s">
        <v>108</v>
      </c>
      <c r="F34" s="32">
        <v>3.6</v>
      </c>
      <c r="G34" s="32">
        <v>30.77</v>
      </c>
      <c r="H34" s="32">
        <f>ROUND(F34*AE34,2)</f>
        <v>2.95</v>
      </c>
      <c r="I34" s="32">
        <f>J34-H34</f>
        <v>107.82</v>
      </c>
      <c r="J34" s="32">
        <f>ROUND(F34*G34,2)</f>
        <v>110.77</v>
      </c>
      <c r="K34" s="32">
        <v>3E-05</v>
      </c>
      <c r="L34" s="32">
        <f>F34*K34</f>
        <v>0.00010800000000000001</v>
      </c>
      <c r="N34" s="52" t="s">
        <v>7</v>
      </c>
      <c r="O34" s="32">
        <f>IF(N34="5",I34,0)</f>
        <v>0</v>
      </c>
      <c r="Z34" s="32">
        <f>IF(AD34=0,J34,0)</f>
        <v>0</v>
      </c>
      <c r="AA34" s="32">
        <f>IF(AD34=15,J34,0)</f>
        <v>0</v>
      </c>
      <c r="AB34" s="32">
        <f>IF(AD34=21,J34,0)</f>
        <v>110.77</v>
      </c>
      <c r="AD34" s="54">
        <v>21</v>
      </c>
      <c r="AE34" s="54">
        <f>G34*0.0266493337666558</f>
        <v>0.819999999999999</v>
      </c>
      <c r="AF34" s="54">
        <f>G34*(1-0.0266493337666558)</f>
        <v>29.95</v>
      </c>
    </row>
    <row r="35" spans="1:32" ht="12.75">
      <c r="A35" s="10" t="s">
        <v>26</v>
      </c>
      <c r="B35" s="10"/>
      <c r="C35" s="10" t="s">
        <v>58</v>
      </c>
      <c r="D35" s="10" t="s">
        <v>93</v>
      </c>
      <c r="E35" s="10" t="s">
        <v>112</v>
      </c>
      <c r="F35" s="32">
        <v>1</v>
      </c>
      <c r="G35" s="32">
        <v>450</v>
      </c>
      <c r="H35" s="32">
        <f>ROUND(F35*AE35,2)</f>
        <v>0</v>
      </c>
      <c r="I35" s="32">
        <f>J35-H35</f>
        <v>450</v>
      </c>
      <c r="J35" s="32">
        <f>ROUND(F35*G35,2)</f>
        <v>450</v>
      </c>
      <c r="K35" s="32">
        <v>0</v>
      </c>
      <c r="L35" s="32">
        <f>F35*K35</f>
        <v>0</v>
      </c>
      <c r="N35" s="52" t="s">
        <v>7</v>
      </c>
      <c r="O35" s="32">
        <f>IF(N35="5",I35,0)</f>
        <v>0</v>
      </c>
      <c r="Z35" s="32">
        <f>IF(AD35=0,J35,0)</f>
        <v>0</v>
      </c>
      <c r="AA35" s="32">
        <f>IF(AD35=15,J35,0)</f>
        <v>0</v>
      </c>
      <c r="AB35" s="32">
        <f>IF(AD35=21,J35,0)</f>
        <v>450</v>
      </c>
      <c r="AD35" s="54">
        <v>21</v>
      </c>
      <c r="AE35" s="54">
        <f>G35*0</f>
        <v>0</v>
      </c>
      <c r="AF35" s="54">
        <f>G35*(1-0)</f>
        <v>450</v>
      </c>
    </row>
    <row r="36" spans="1:37" ht="12.75">
      <c r="A36" s="11"/>
      <c r="B36" s="11"/>
      <c r="C36" s="22" t="s">
        <v>59</v>
      </c>
      <c r="D36" s="27" t="s">
        <v>94</v>
      </c>
      <c r="E36" s="30"/>
      <c r="F36" s="30"/>
      <c r="G36" s="30"/>
      <c r="H36" s="56">
        <f>SUM(H37:H37)</f>
        <v>0</v>
      </c>
      <c r="I36" s="56">
        <f>SUM(I37:I37)</f>
        <v>540.81</v>
      </c>
      <c r="J36" s="56">
        <f>H36+I36</f>
        <v>540.81</v>
      </c>
      <c r="K36" s="46"/>
      <c r="L36" s="56">
        <f>SUM(L37:L37)</f>
        <v>0</v>
      </c>
      <c r="P36" s="56">
        <f>IF(Q36="PR",J36,SUM(O37:O37))</f>
        <v>540.81</v>
      </c>
      <c r="Q36" s="46" t="s">
        <v>134</v>
      </c>
      <c r="R36" s="56">
        <f>IF(Q36="HS",H36,0)</f>
        <v>0</v>
      </c>
      <c r="S36" s="56">
        <f>IF(Q36="HS",I36-P36,0)</f>
        <v>0</v>
      </c>
      <c r="T36" s="56">
        <f>IF(Q36="PS",H36,0)</f>
        <v>0</v>
      </c>
      <c r="U36" s="56">
        <f>IF(Q36="PS",I36-P36,0)</f>
        <v>0</v>
      </c>
      <c r="V36" s="56">
        <f>IF(Q36="MP",H36,0)</f>
        <v>0</v>
      </c>
      <c r="W36" s="56">
        <f>IF(Q36="MP",I36-P36,0)</f>
        <v>0</v>
      </c>
      <c r="X36" s="56">
        <f>IF(Q36="OM",H36,0)</f>
        <v>0</v>
      </c>
      <c r="Y36" s="46"/>
      <c r="AI36" s="56">
        <f>SUM(Z37:Z37)</f>
        <v>0</v>
      </c>
      <c r="AJ36" s="56">
        <f>SUM(AA37:AA37)</f>
        <v>0</v>
      </c>
      <c r="AK36" s="56">
        <f>SUM(AB37:AB37)</f>
        <v>540.81</v>
      </c>
    </row>
    <row r="37" spans="1:32" ht="12.75">
      <c r="A37" s="10" t="s">
        <v>27</v>
      </c>
      <c r="B37" s="10"/>
      <c r="C37" s="10" t="s">
        <v>60</v>
      </c>
      <c r="D37" s="10" t="s">
        <v>95</v>
      </c>
      <c r="E37" s="10" t="s">
        <v>113</v>
      </c>
      <c r="F37" s="32">
        <v>0.73944</v>
      </c>
      <c r="G37" s="32">
        <v>731.38</v>
      </c>
      <c r="H37" s="32">
        <f>ROUND(F37*AE37,2)</f>
        <v>0</v>
      </c>
      <c r="I37" s="32">
        <f>J37-H37</f>
        <v>540.81</v>
      </c>
      <c r="J37" s="32">
        <f>ROUND(F37*G37,2)</f>
        <v>540.81</v>
      </c>
      <c r="K37" s="32">
        <v>0</v>
      </c>
      <c r="L37" s="32">
        <f>F37*K37</f>
        <v>0</v>
      </c>
      <c r="N37" s="52" t="s">
        <v>11</v>
      </c>
      <c r="O37" s="32">
        <f>IF(N37="5",I37,0)</f>
        <v>540.81</v>
      </c>
      <c r="Z37" s="32">
        <f>IF(AD37=0,J37,0)</f>
        <v>0</v>
      </c>
      <c r="AA37" s="32">
        <f>IF(AD37=15,J37,0)</f>
        <v>0</v>
      </c>
      <c r="AB37" s="32">
        <f>IF(AD37=21,J37,0)</f>
        <v>540.81</v>
      </c>
      <c r="AD37" s="54">
        <v>21</v>
      </c>
      <c r="AE37" s="54">
        <f>G37*0</f>
        <v>0</v>
      </c>
      <c r="AF37" s="54">
        <f>G37*(1-0)</f>
        <v>731.38</v>
      </c>
    </row>
    <row r="38" spans="1:37" ht="12.75">
      <c r="A38" s="11"/>
      <c r="B38" s="11"/>
      <c r="C38" s="22" t="s">
        <v>61</v>
      </c>
      <c r="D38" s="27" t="s">
        <v>96</v>
      </c>
      <c r="E38" s="30"/>
      <c r="F38" s="30"/>
      <c r="G38" s="30"/>
      <c r="H38" s="56">
        <f>SUM(H39:H39)</f>
        <v>0</v>
      </c>
      <c r="I38" s="56">
        <f>SUM(I39:I39)</f>
        <v>31.08</v>
      </c>
      <c r="J38" s="56">
        <f>H38+I38</f>
        <v>31.08</v>
      </c>
      <c r="K38" s="46"/>
      <c r="L38" s="56">
        <f>SUM(L39:L39)</f>
        <v>0</v>
      </c>
      <c r="P38" s="56">
        <f>IF(Q38="PR",J38,SUM(O39:O39))</f>
        <v>31.08</v>
      </c>
      <c r="Q38" s="46" t="s">
        <v>134</v>
      </c>
      <c r="R38" s="56">
        <f>IF(Q38="HS",H38,0)</f>
        <v>0</v>
      </c>
      <c r="S38" s="56">
        <f>IF(Q38="HS",I38-P38,0)</f>
        <v>0</v>
      </c>
      <c r="T38" s="56">
        <f>IF(Q38="PS",H38,0)</f>
        <v>0</v>
      </c>
      <c r="U38" s="56">
        <f>IF(Q38="PS",I38-P38,0)</f>
        <v>0</v>
      </c>
      <c r="V38" s="56">
        <f>IF(Q38="MP",H38,0)</f>
        <v>0</v>
      </c>
      <c r="W38" s="56">
        <f>IF(Q38="MP",I38-P38,0)</f>
        <v>0</v>
      </c>
      <c r="X38" s="56">
        <f>IF(Q38="OM",H38,0)</f>
        <v>0</v>
      </c>
      <c r="Y38" s="46"/>
      <c r="AI38" s="56">
        <f>SUM(Z39:Z39)</f>
        <v>0</v>
      </c>
      <c r="AJ38" s="56">
        <f>SUM(AA39:AA39)</f>
        <v>0</v>
      </c>
      <c r="AK38" s="56">
        <f>SUM(AB39:AB39)</f>
        <v>31.08</v>
      </c>
    </row>
    <row r="39" spans="1:32" ht="12.75">
      <c r="A39" s="10" t="s">
        <v>28</v>
      </c>
      <c r="B39" s="10"/>
      <c r="C39" s="10" t="s">
        <v>62</v>
      </c>
      <c r="D39" s="10" t="s">
        <v>97</v>
      </c>
      <c r="E39" s="10" t="s">
        <v>113</v>
      </c>
      <c r="F39" s="32">
        <v>0.0259</v>
      </c>
      <c r="G39" s="32">
        <v>1200</v>
      </c>
      <c r="H39" s="32">
        <f>ROUND(F39*AE39,2)</f>
        <v>0</v>
      </c>
      <c r="I39" s="32">
        <f>J39-H39</f>
        <v>31.08</v>
      </c>
      <c r="J39" s="32">
        <f>ROUND(F39*G39,2)</f>
        <v>31.08</v>
      </c>
      <c r="K39" s="32">
        <v>0</v>
      </c>
      <c r="L39" s="32">
        <f>F39*K39</f>
        <v>0</v>
      </c>
      <c r="N39" s="52" t="s">
        <v>11</v>
      </c>
      <c r="O39" s="32">
        <f>IF(N39="5",I39,0)</f>
        <v>31.08</v>
      </c>
      <c r="Z39" s="32">
        <f>IF(AD39=0,J39,0)</f>
        <v>0</v>
      </c>
      <c r="AA39" s="32">
        <f>IF(AD39=15,J39,0)</f>
        <v>0</v>
      </c>
      <c r="AB39" s="32">
        <f>IF(AD39=21,J39,0)</f>
        <v>31.08</v>
      </c>
      <c r="AD39" s="54">
        <v>21</v>
      </c>
      <c r="AE39" s="54">
        <f>G39*0</f>
        <v>0</v>
      </c>
      <c r="AF39" s="54">
        <f>G39*(1-0)</f>
        <v>1200</v>
      </c>
    </row>
    <row r="40" spans="1:37" ht="12.75">
      <c r="A40" s="11"/>
      <c r="B40" s="11"/>
      <c r="C40" s="22"/>
      <c r="D40" s="27" t="s">
        <v>98</v>
      </c>
      <c r="E40" s="30"/>
      <c r="F40" s="30"/>
      <c r="G40" s="30"/>
      <c r="H40" s="56">
        <f>SUM(H41:H44)</f>
        <v>22178.22</v>
      </c>
      <c r="I40" s="56">
        <f>SUM(I41:I44)</f>
        <v>0</v>
      </c>
      <c r="J40" s="56">
        <f>H40+I40</f>
        <v>22178.22</v>
      </c>
      <c r="K40" s="46"/>
      <c r="L40" s="56">
        <f>SUM(L41:L44)</f>
        <v>0.631938</v>
      </c>
      <c r="P40" s="56">
        <f>IF(Q40="PR",J40,SUM(O41:O44))</f>
        <v>0</v>
      </c>
      <c r="Q40" s="46" t="s">
        <v>135</v>
      </c>
      <c r="R40" s="56">
        <f>IF(Q40="HS",H40,0)</f>
        <v>0</v>
      </c>
      <c r="S40" s="56">
        <f>IF(Q40="HS",I40-P40,0)</f>
        <v>0</v>
      </c>
      <c r="T40" s="56">
        <f>IF(Q40="PS",H40,0)</f>
        <v>0</v>
      </c>
      <c r="U40" s="56">
        <f>IF(Q40="PS",I40-P40,0)</f>
        <v>0</v>
      </c>
      <c r="V40" s="56">
        <f>IF(Q40="MP",H40,0)</f>
        <v>0</v>
      </c>
      <c r="W40" s="56">
        <f>IF(Q40="MP",I40-P40,0)</f>
        <v>0</v>
      </c>
      <c r="X40" s="56">
        <f>IF(Q40="OM",H40,0)</f>
        <v>22178.22</v>
      </c>
      <c r="Y40" s="46"/>
      <c r="AI40" s="56">
        <f>SUM(Z41:Z44)</f>
        <v>0</v>
      </c>
      <c r="AJ40" s="56">
        <f>SUM(AA41:AA44)</f>
        <v>0</v>
      </c>
      <c r="AK40" s="56">
        <f>SUM(AB41:AB44)</f>
        <v>22178.22</v>
      </c>
    </row>
    <row r="41" spans="1:32" ht="12.75">
      <c r="A41" s="12" t="s">
        <v>29</v>
      </c>
      <c r="B41" s="12"/>
      <c r="C41" s="12" t="s">
        <v>63</v>
      </c>
      <c r="D41" s="12" t="s">
        <v>99</v>
      </c>
      <c r="E41" s="12" t="s">
        <v>110</v>
      </c>
      <c r="F41" s="33">
        <v>25</v>
      </c>
      <c r="G41" s="33">
        <v>25.59</v>
      </c>
      <c r="H41" s="33">
        <f>ROUND(F41*AE41,2)</f>
        <v>639.75</v>
      </c>
      <c r="I41" s="33">
        <f>J41-H41</f>
        <v>0</v>
      </c>
      <c r="J41" s="33">
        <f>ROUND(F41*G41,2)</f>
        <v>639.75</v>
      </c>
      <c r="K41" s="33">
        <v>0.00015</v>
      </c>
      <c r="L41" s="33">
        <f>F41*K41</f>
        <v>0.00375</v>
      </c>
      <c r="N41" s="53" t="s">
        <v>129</v>
      </c>
      <c r="O41" s="33">
        <f>IF(N41="5",I41,0)</f>
        <v>0</v>
      </c>
      <c r="Z41" s="33">
        <f>IF(AD41=0,J41,0)</f>
        <v>0</v>
      </c>
      <c r="AA41" s="33">
        <f>IF(AD41=15,J41,0)</f>
        <v>0</v>
      </c>
      <c r="AB41" s="33">
        <f>IF(AD41=21,J41,0)</f>
        <v>639.75</v>
      </c>
      <c r="AD41" s="54">
        <v>21</v>
      </c>
      <c r="AE41" s="54">
        <f>G41*1</f>
        <v>25.59</v>
      </c>
      <c r="AF41" s="54">
        <f>G41*(1-1)</f>
        <v>0</v>
      </c>
    </row>
    <row r="42" spans="1:32" ht="12.75">
      <c r="A42" s="12" t="s">
        <v>30</v>
      </c>
      <c r="B42" s="12"/>
      <c r="C42" s="12" t="s">
        <v>64</v>
      </c>
      <c r="D42" s="12" t="s">
        <v>100</v>
      </c>
      <c r="E42" s="12" t="s">
        <v>108</v>
      </c>
      <c r="F42" s="33">
        <v>29.74</v>
      </c>
      <c r="G42" s="33">
        <v>340.52</v>
      </c>
      <c r="H42" s="33">
        <f>ROUND(F42*AE42,2)</f>
        <v>10127.06</v>
      </c>
      <c r="I42" s="33">
        <f>J42-H42</f>
        <v>0</v>
      </c>
      <c r="J42" s="33">
        <f>ROUND(F42*G42,2)</f>
        <v>10127.06</v>
      </c>
      <c r="K42" s="33">
        <v>0.00295</v>
      </c>
      <c r="L42" s="33">
        <f>F42*K42</f>
        <v>0.08773299999999999</v>
      </c>
      <c r="N42" s="53" t="s">
        <v>129</v>
      </c>
      <c r="O42" s="33">
        <f>IF(N42="5",I42,0)</f>
        <v>0</v>
      </c>
      <c r="Z42" s="33">
        <f>IF(AD42=0,J42,0)</f>
        <v>0</v>
      </c>
      <c r="AA42" s="33">
        <f>IF(AD42=15,J42,0)</f>
        <v>0</v>
      </c>
      <c r="AB42" s="33">
        <f>IF(AD42=21,J42,0)</f>
        <v>10127.06</v>
      </c>
      <c r="AD42" s="54">
        <v>21</v>
      </c>
      <c r="AE42" s="54">
        <f>G42*1</f>
        <v>340.52</v>
      </c>
      <c r="AF42" s="54">
        <f>G42*(1-1)</f>
        <v>0</v>
      </c>
    </row>
    <row r="43" spans="1:32" ht="12.75">
      <c r="A43" s="12" t="s">
        <v>31</v>
      </c>
      <c r="B43" s="12"/>
      <c r="C43" s="12" t="s">
        <v>65</v>
      </c>
      <c r="D43" s="12" t="s">
        <v>101</v>
      </c>
      <c r="E43" s="12" t="s">
        <v>108</v>
      </c>
      <c r="F43" s="33">
        <v>30</v>
      </c>
      <c r="G43" s="33">
        <v>76</v>
      </c>
      <c r="H43" s="33">
        <f>ROUND(F43*AE43,2)</f>
        <v>2280</v>
      </c>
      <c r="I43" s="33">
        <f>J43-H43</f>
        <v>0</v>
      </c>
      <c r="J43" s="33">
        <f>ROUND(F43*G43,2)</f>
        <v>2280</v>
      </c>
      <c r="K43" s="33">
        <v>0</v>
      </c>
      <c r="L43" s="33">
        <f>F43*K43</f>
        <v>0</v>
      </c>
      <c r="N43" s="53" t="s">
        <v>129</v>
      </c>
      <c r="O43" s="33">
        <f>IF(N43="5",I43,0)</f>
        <v>0</v>
      </c>
      <c r="Z43" s="33">
        <f>IF(AD43=0,J43,0)</f>
        <v>0</v>
      </c>
      <c r="AA43" s="33">
        <f>IF(AD43=15,J43,0)</f>
        <v>0</v>
      </c>
      <c r="AB43" s="33">
        <f>IF(AD43=21,J43,0)</f>
        <v>2280</v>
      </c>
      <c r="AD43" s="54">
        <v>21</v>
      </c>
      <c r="AE43" s="54">
        <f>G43*1</f>
        <v>76</v>
      </c>
      <c r="AF43" s="54">
        <f>G43*(1-1)</f>
        <v>0</v>
      </c>
    </row>
    <row r="44" spans="1:32" ht="12.75">
      <c r="A44" s="13" t="s">
        <v>32</v>
      </c>
      <c r="B44" s="13"/>
      <c r="C44" s="13" t="s">
        <v>66</v>
      </c>
      <c r="D44" s="13" t="s">
        <v>102</v>
      </c>
      <c r="E44" s="13" t="s">
        <v>108</v>
      </c>
      <c r="F44" s="34">
        <v>56.89</v>
      </c>
      <c r="G44" s="34">
        <v>160.51</v>
      </c>
      <c r="H44" s="34">
        <f>ROUND(F44*AE44,2)</f>
        <v>9131.41</v>
      </c>
      <c r="I44" s="34">
        <f>J44-H44</f>
        <v>0</v>
      </c>
      <c r="J44" s="34">
        <f>ROUND(F44*G44,2)</f>
        <v>9131.41</v>
      </c>
      <c r="K44" s="34">
        <v>0.0095</v>
      </c>
      <c r="L44" s="34">
        <f>F44*K44</f>
        <v>0.540455</v>
      </c>
      <c r="N44" s="53" t="s">
        <v>129</v>
      </c>
      <c r="O44" s="33">
        <f>IF(N44="5",I44,0)</f>
        <v>0</v>
      </c>
      <c r="Z44" s="33">
        <f>IF(AD44=0,J44,0)</f>
        <v>0</v>
      </c>
      <c r="AA44" s="33">
        <f>IF(AD44=15,J44,0)</f>
        <v>0</v>
      </c>
      <c r="AB44" s="33">
        <f>IF(AD44=21,J44,0)</f>
        <v>9131.41</v>
      </c>
      <c r="AD44" s="54">
        <v>21</v>
      </c>
      <c r="AE44" s="54">
        <f>G44*1</f>
        <v>160.51</v>
      </c>
      <c r="AF44" s="54">
        <f>G44*(1-1)</f>
        <v>0</v>
      </c>
    </row>
    <row r="45" spans="1:28" ht="12.75">
      <c r="A45" s="14"/>
      <c r="B45" s="14"/>
      <c r="C45" s="14"/>
      <c r="D45" s="14"/>
      <c r="E45" s="14"/>
      <c r="F45" s="14"/>
      <c r="G45" s="14"/>
      <c r="H45" s="23" t="s">
        <v>119</v>
      </c>
      <c r="I45" s="42"/>
      <c r="J45" s="57">
        <f>J12+J15+J22+J31+J36+J38+J40</f>
        <v>57212.560000000005</v>
      </c>
      <c r="K45" s="14"/>
      <c r="L45" s="14"/>
      <c r="Z45" s="58">
        <f>SUM(Z13:Z44)</f>
        <v>0</v>
      </c>
      <c r="AA45" s="58">
        <f>SUM(AA13:AA44)</f>
        <v>0</v>
      </c>
      <c r="AB45" s="58">
        <f>SUM(AB13:AB44)</f>
        <v>57212.56</v>
      </c>
    </row>
  </sheetData>
  <mergeCells count="35">
    <mergeCell ref="D40:G40"/>
    <mergeCell ref="H45:I45"/>
    <mergeCell ref="D22:G22"/>
    <mergeCell ref="D31:G31"/>
    <mergeCell ref="D36:G36"/>
    <mergeCell ref="D38:G38"/>
    <mergeCell ref="H10:J10"/>
    <mergeCell ref="K10:L10"/>
    <mergeCell ref="D12:G12"/>
    <mergeCell ref="D15:G15"/>
    <mergeCell ref="I8:I9"/>
    <mergeCell ref="J2:L3"/>
    <mergeCell ref="J4:L5"/>
    <mergeCell ref="J6:L7"/>
    <mergeCell ref="J8:L9"/>
    <mergeCell ref="E8:F9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3" max="3" width="13.28125" style="0" customWidth="1"/>
    <col min="4" max="4" width="44.00390625" style="0" customWidth="1"/>
    <col min="5" max="5" width="9.8515625" style="0" customWidth="1"/>
    <col min="6" max="6" width="24.140625" style="0" customWidth="1"/>
    <col min="7" max="7" width="20.421875" style="0" customWidth="1"/>
    <col min="8" max="8" width="44.00390625" style="0" customWidth="1"/>
    <col min="9" max="16384" width="11.421875" style="0" customWidth="1"/>
  </cols>
  <sheetData>
    <row r="1" spans="1:7" ht="21.75" customHeight="1">
      <c r="A1" s="2" t="s">
        <v>143</v>
      </c>
      <c r="B1" s="15"/>
      <c r="C1" s="15"/>
      <c r="D1" s="15"/>
      <c r="E1" s="15"/>
      <c r="F1" s="15"/>
      <c r="G1" s="15"/>
    </row>
    <row r="2" spans="1:8" ht="12.75">
      <c r="A2" s="3" t="s">
        <v>1</v>
      </c>
      <c r="B2" s="16"/>
      <c r="C2" s="23" t="s">
        <v>67</v>
      </c>
      <c r="D2" s="42"/>
      <c r="E2" s="28" t="s">
        <v>120</v>
      </c>
      <c r="F2" s="28" t="s">
        <v>125</v>
      </c>
      <c r="G2" s="47"/>
      <c r="H2" s="50"/>
    </row>
    <row r="3" spans="1:8" ht="12.75">
      <c r="A3" s="4"/>
      <c r="B3" s="17"/>
      <c r="C3" s="24"/>
      <c r="D3" s="24"/>
      <c r="E3" s="17"/>
      <c r="F3" s="17"/>
      <c r="G3" s="48"/>
      <c r="H3" s="50"/>
    </row>
    <row r="4" spans="1:8" ht="12.75">
      <c r="A4" s="5" t="s">
        <v>2</v>
      </c>
      <c r="B4" s="17"/>
      <c r="C4" s="25" t="s">
        <v>68</v>
      </c>
      <c r="D4" s="17"/>
      <c r="E4" s="25" t="s">
        <v>121</v>
      </c>
      <c r="F4" s="25" t="s">
        <v>126</v>
      </c>
      <c r="G4" s="48"/>
      <c r="H4" s="50"/>
    </row>
    <row r="5" spans="1:8" ht="12.75">
      <c r="A5" s="4"/>
      <c r="B5" s="17"/>
      <c r="C5" s="17"/>
      <c r="D5" s="17"/>
      <c r="E5" s="17"/>
      <c r="F5" s="17"/>
      <c r="G5" s="48"/>
      <c r="H5" s="50"/>
    </row>
    <row r="6" spans="1:8" ht="12.75">
      <c r="A6" s="5" t="s">
        <v>3</v>
      </c>
      <c r="B6" s="17"/>
      <c r="C6" s="25"/>
      <c r="D6" s="17"/>
      <c r="E6" s="25" t="s">
        <v>122</v>
      </c>
      <c r="F6" s="25"/>
      <c r="G6" s="48"/>
      <c r="H6" s="50"/>
    </row>
    <row r="7" spans="1:8" ht="12.75">
      <c r="A7" s="4"/>
      <c r="B7" s="17"/>
      <c r="C7" s="17"/>
      <c r="D7" s="17"/>
      <c r="E7" s="17"/>
      <c r="F7" s="17"/>
      <c r="G7" s="48"/>
      <c r="H7" s="50"/>
    </row>
    <row r="8" spans="1:8" ht="12.75">
      <c r="A8" s="5" t="s">
        <v>123</v>
      </c>
      <c r="B8" s="17"/>
      <c r="C8" s="25"/>
      <c r="D8" s="17"/>
      <c r="E8" s="25" t="s">
        <v>106</v>
      </c>
      <c r="F8" s="35">
        <v>42502</v>
      </c>
      <c r="G8" s="48"/>
      <c r="H8" s="50"/>
    </row>
    <row r="9" spans="1:8" ht="12.75">
      <c r="A9" s="6"/>
      <c r="B9" s="18"/>
      <c r="C9" s="18"/>
      <c r="D9" s="18"/>
      <c r="E9" s="18"/>
      <c r="F9" s="18"/>
      <c r="G9" s="49"/>
      <c r="H9" s="64"/>
    </row>
    <row r="10" spans="1:9" ht="12.75">
      <c r="A10" s="59" t="s">
        <v>6</v>
      </c>
      <c r="B10" s="61" t="s">
        <v>33</v>
      </c>
      <c r="C10" s="61" t="s">
        <v>34</v>
      </c>
      <c r="D10" s="61" t="s">
        <v>69</v>
      </c>
      <c r="E10" s="61" t="s">
        <v>107</v>
      </c>
      <c r="F10" s="61" t="s">
        <v>144</v>
      </c>
      <c r="G10" s="62" t="s">
        <v>114</v>
      </c>
      <c r="H10" s="65" t="s">
        <v>155</v>
      </c>
      <c r="I10" s="51"/>
    </row>
    <row r="11" spans="1:8" ht="12.75">
      <c r="A11" s="60" t="s">
        <v>7</v>
      </c>
      <c r="B11" s="60"/>
      <c r="C11" s="60" t="s">
        <v>36</v>
      </c>
      <c r="D11" s="60" t="s">
        <v>71</v>
      </c>
      <c r="E11" s="60" t="s">
        <v>108</v>
      </c>
      <c r="F11" s="60" t="s">
        <v>145</v>
      </c>
      <c r="G11" s="63">
        <v>51.72</v>
      </c>
      <c r="H11" s="66"/>
    </row>
    <row r="12" spans="1:7" ht="12.75">
      <c r="A12" s="10" t="s">
        <v>8</v>
      </c>
      <c r="B12" s="10"/>
      <c r="C12" s="10" t="s">
        <v>37</v>
      </c>
      <c r="D12" s="10" t="s">
        <v>72</v>
      </c>
      <c r="E12" s="10" t="s">
        <v>109</v>
      </c>
      <c r="F12" s="10" t="s">
        <v>146</v>
      </c>
      <c r="G12" s="32">
        <v>0.78</v>
      </c>
    </row>
    <row r="13" spans="1:7" ht="12.75">
      <c r="A13" s="10" t="s">
        <v>9</v>
      </c>
      <c r="B13" s="10"/>
      <c r="C13" s="10" t="s">
        <v>39</v>
      </c>
      <c r="D13" s="10" t="s">
        <v>74</v>
      </c>
      <c r="E13" s="10" t="s">
        <v>108</v>
      </c>
      <c r="F13" s="10" t="s">
        <v>147</v>
      </c>
      <c r="G13" s="32">
        <v>25.86</v>
      </c>
    </row>
    <row r="14" spans="1:7" ht="12.75">
      <c r="A14" s="10" t="s">
        <v>10</v>
      </c>
      <c r="B14" s="10"/>
      <c r="C14" s="10" t="s">
        <v>40</v>
      </c>
      <c r="D14" s="10" t="s">
        <v>75</v>
      </c>
      <c r="E14" s="10" t="s">
        <v>108</v>
      </c>
      <c r="F14" s="10" t="s">
        <v>147</v>
      </c>
      <c r="G14" s="32">
        <v>25.86</v>
      </c>
    </row>
    <row r="15" spans="1:7" ht="12.75">
      <c r="A15" s="10" t="s">
        <v>11</v>
      </c>
      <c r="B15" s="10"/>
      <c r="C15" s="10" t="s">
        <v>41</v>
      </c>
      <c r="D15" s="10" t="s">
        <v>76</v>
      </c>
      <c r="E15" s="10" t="s">
        <v>110</v>
      </c>
      <c r="F15" s="10" t="s">
        <v>148</v>
      </c>
      <c r="G15" s="32">
        <v>20.42</v>
      </c>
    </row>
    <row r="16" spans="1:7" ht="12.75">
      <c r="A16" s="10" t="s">
        <v>12</v>
      </c>
      <c r="B16" s="10"/>
      <c r="C16" s="10" t="s">
        <v>42</v>
      </c>
      <c r="D16" s="10" t="s">
        <v>77</v>
      </c>
      <c r="E16" s="10" t="s">
        <v>108</v>
      </c>
      <c r="F16" s="10" t="s">
        <v>147</v>
      </c>
      <c r="G16" s="32">
        <v>25.86</v>
      </c>
    </row>
    <row r="17" spans="1:7" ht="12.75">
      <c r="A17" s="10" t="s">
        <v>13</v>
      </c>
      <c r="B17" s="10"/>
      <c r="C17" s="10" t="s">
        <v>43</v>
      </c>
      <c r="D17" s="10" t="s">
        <v>78</v>
      </c>
      <c r="E17" s="10" t="s">
        <v>108</v>
      </c>
      <c r="F17" s="10" t="s">
        <v>147</v>
      </c>
      <c r="G17" s="32">
        <v>25.86</v>
      </c>
    </row>
    <row r="18" spans="1:7" ht="12.75">
      <c r="A18" s="10" t="s">
        <v>14</v>
      </c>
      <c r="B18" s="10"/>
      <c r="C18" s="10" t="s">
        <v>44</v>
      </c>
      <c r="D18" s="10" t="s">
        <v>79</v>
      </c>
      <c r="E18" s="10" t="s">
        <v>108</v>
      </c>
      <c r="F18" s="10" t="s">
        <v>147</v>
      </c>
      <c r="G18" s="32">
        <v>25.86</v>
      </c>
    </row>
    <row r="19" spans="1:7" ht="12.75">
      <c r="A19" s="10" t="s">
        <v>15</v>
      </c>
      <c r="B19" s="10"/>
      <c r="C19" s="10" t="s">
        <v>46</v>
      </c>
      <c r="D19" s="10" t="s">
        <v>81</v>
      </c>
      <c r="E19" s="10" t="s">
        <v>108</v>
      </c>
      <c r="F19" s="10" t="s">
        <v>149</v>
      </c>
      <c r="G19" s="32">
        <v>137.41</v>
      </c>
    </row>
    <row r="20" spans="1:7" ht="12.75">
      <c r="A20" s="10"/>
      <c r="B20" s="10"/>
      <c r="C20" s="10"/>
      <c r="D20" s="10"/>
      <c r="E20" s="10"/>
      <c r="F20" s="10" t="s">
        <v>150</v>
      </c>
      <c r="G20" s="32">
        <v>0</v>
      </c>
    </row>
    <row r="21" spans="1:7" ht="12.75">
      <c r="A21" s="10"/>
      <c r="B21" s="10"/>
      <c r="C21" s="10"/>
      <c r="D21" s="10"/>
      <c r="E21" s="10"/>
      <c r="F21" s="10" t="s">
        <v>151</v>
      </c>
      <c r="G21" s="32">
        <v>0</v>
      </c>
    </row>
    <row r="22" spans="1:7" ht="12.75">
      <c r="A22" s="10" t="s">
        <v>16</v>
      </c>
      <c r="B22" s="10"/>
      <c r="C22" s="10" t="s">
        <v>47</v>
      </c>
      <c r="D22" s="10" t="s">
        <v>82</v>
      </c>
      <c r="E22" s="10" t="s">
        <v>108</v>
      </c>
      <c r="F22" s="10"/>
      <c r="G22" s="32">
        <v>137.41</v>
      </c>
    </row>
    <row r="23" spans="1:7" ht="12.75">
      <c r="A23" s="10" t="s">
        <v>17</v>
      </c>
      <c r="B23" s="10"/>
      <c r="C23" s="10" t="s">
        <v>48</v>
      </c>
      <c r="D23" s="10" t="s">
        <v>83</v>
      </c>
      <c r="E23" s="10" t="s">
        <v>108</v>
      </c>
      <c r="F23" s="10"/>
      <c r="G23" s="32">
        <v>137.41</v>
      </c>
    </row>
    <row r="24" spans="1:7" ht="12.75">
      <c r="A24" s="10" t="s">
        <v>18</v>
      </c>
      <c r="B24" s="10"/>
      <c r="C24" s="10" t="s">
        <v>50</v>
      </c>
      <c r="D24" s="10" t="s">
        <v>85</v>
      </c>
      <c r="E24" s="10" t="s">
        <v>111</v>
      </c>
      <c r="F24" s="10"/>
      <c r="G24" s="32">
        <v>1</v>
      </c>
    </row>
    <row r="25" spans="1:8" ht="25.5">
      <c r="A25" s="10" t="s">
        <v>19</v>
      </c>
      <c r="B25" s="10"/>
      <c r="C25" s="10" t="s">
        <v>51</v>
      </c>
      <c r="D25" s="10" t="s">
        <v>86</v>
      </c>
      <c r="E25" s="10" t="s">
        <v>111</v>
      </c>
      <c r="F25" s="10"/>
      <c r="G25" s="32">
        <v>2</v>
      </c>
      <c r="H25" s="67" t="s">
        <v>156</v>
      </c>
    </row>
    <row r="26" spans="1:7" ht="12.75">
      <c r="A26" s="10" t="s">
        <v>20</v>
      </c>
      <c r="B26" s="10"/>
      <c r="C26" s="10" t="s">
        <v>52</v>
      </c>
      <c r="D26" s="10" t="s">
        <v>87</v>
      </c>
      <c r="E26" s="10" t="s">
        <v>112</v>
      </c>
      <c r="F26" s="10"/>
      <c r="G26" s="32">
        <v>1</v>
      </c>
    </row>
    <row r="27" spans="1:7" ht="12.75">
      <c r="A27" s="10" t="s">
        <v>21</v>
      </c>
      <c r="B27" s="10"/>
      <c r="C27" s="10" t="s">
        <v>53</v>
      </c>
      <c r="D27" s="10" t="s">
        <v>88</v>
      </c>
      <c r="E27" s="10" t="s">
        <v>112</v>
      </c>
      <c r="F27" s="10"/>
      <c r="G27" s="32">
        <v>1</v>
      </c>
    </row>
    <row r="28" spans="1:7" ht="12.75">
      <c r="A28" s="10" t="s">
        <v>22</v>
      </c>
      <c r="B28" s="10"/>
      <c r="C28" s="10" t="s">
        <v>55</v>
      </c>
      <c r="D28" s="10" t="s">
        <v>90</v>
      </c>
      <c r="E28" s="10" t="s">
        <v>108</v>
      </c>
      <c r="F28" s="10" t="s">
        <v>152</v>
      </c>
      <c r="G28" s="32">
        <v>3.6</v>
      </c>
    </row>
    <row r="29" spans="1:7" ht="12.75">
      <c r="A29" s="10" t="s">
        <v>23</v>
      </c>
      <c r="B29" s="10"/>
      <c r="C29" s="10" t="s">
        <v>56</v>
      </c>
      <c r="D29" s="10" t="s">
        <v>91</v>
      </c>
      <c r="E29" s="10" t="s">
        <v>108</v>
      </c>
      <c r="F29" s="10"/>
      <c r="G29" s="32">
        <v>25.86</v>
      </c>
    </row>
    <row r="30" spans="1:7" ht="12.75">
      <c r="A30" s="10" t="s">
        <v>24</v>
      </c>
      <c r="B30" s="10"/>
      <c r="C30" s="10" t="s">
        <v>57</v>
      </c>
      <c r="D30" s="10" t="s">
        <v>92</v>
      </c>
      <c r="E30" s="10" t="s">
        <v>108</v>
      </c>
      <c r="F30" s="10"/>
      <c r="G30" s="32">
        <v>3.6</v>
      </c>
    </row>
    <row r="31" spans="1:7" ht="12.75">
      <c r="A31" s="10" t="s">
        <v>25</v>
      </c>
      <c r="B31" s="10"/>
      <c r="C31" s="10" t="s">
        <v>58</v>
      </c>
      <c r="D31" s="10" t="s">
        <v>93</v>
      </c>
      <c r="E31" s="10" t="s">
        <v>112</v>
      </c>
      <c r="F31" s="10"/>
      <c r="G31" s="32">
        <v>1</v>
      </c>
    </row>
    <row r="32" spans="1:7" ht="12.75">
      <c r="A32" s="10" t="s">
        <v>26</v>
      </c>
      <c r="B32" s="10"/>
      <c r="C32" s="10" t="s">
        <v>60</v>
      </c>
      <c r="D32" s="10" t="s">
        <v>95</v>
      </c>
      <c r="E32" s="10" t="s">
        <v>113</v>
      </c>
      <c r="F32" s="10"/>
      <c r="G32" s="32">
        <v>0.73944</v>
      </c>
    </row>
    <row r="33" spans="1:7" ht="12.75">
      <c r="A33" s="10" t="s">
        <v>27</v>
      </c>
      <c r="B33" s="10"/>
      <c r="C33" s="10" t="s">
        <v>62</v>
      </c>
      <c r="D33" s="10" t="s">
        <v>97</v>
      </c>
      <c r="E33" s="10" t="s">
        <v>113</v>
      </c>
      <c r="F33" s="10"/>
      <c r="G33" s="32">
        <v>0.0259</v>
      </c>
    </row>
    <row r="34" spans="1:7" ht="12.75">
      <c r="A34" s="12" t="s">
        <v>28</v>
      </c>
      <c r="B34" s="12"/>
      <c r="C34" s="12" t="s">
        <v>63</v>
      </c>
      <c r="D34" s="12" t="s">
        <v>99</v>
      </c>
      <c r="E34" s="12" t="s">
        <v>110</v>
      </c>
      <c r="F34" s="12"/>
      <c r="G34" s="33">
        <v>25</v>
      </c>
    </row>
    <row r="35" spans="1:7" ht="12.75">
      <c r="A35" s="12" t="s">
        <v>29</v>
      </c>
      <c r="B35" s="12"/>
      <c r="C35" s="12" t="s">
        <v>64</v>
      </c>
      <c r="D35" s="12" t="s">
        <v>100</v>
      </c>
      <c r="E35" s="12" t="s">
        <v>108</v>
      </c>
      <c r="F35" s="12" t="s">
        <v>153</v>
      </c>
      <c r="G35" s="33">
        <v>29.74</v>
      </c>
    </row>
    <row r="36" spans="1:7" ht="12.75">
      <c r="A36" s="12" t="s">
        <v>30</v>
      </c>
      <c r="B36" s="12"/>
      <c r="C36" s="12" t="s">
        <v>65</v>
      </c>
      <c r="D36" s="12" t="s">
        <v>101</v>
      </c>
      <c r="E36" s="12" t="s">
        <v>108</v>
      </c>
      <c r="F36" s="12"/>
      <c r="G36" s="33">
        <v>30</v>
      </c>
    </row>
    <row r="37" spans="1:7" ht="12.75">
      <c r="A37" s="12" t="s">
        <v>31</v>
      </c>
      <c r="B37" s="12"/>
      <c r="C37" s="12" t="s">
        <v>66</v>
      </c>
      <c r="D37" s="12" t="s">
        <v>102</v>
      </c>
      <c r="E37" s="12" t="s">
        <v>108</v>
      </c>
      <c r="F37" s="12" t="s">
        <v>154</v>
      </c>
      <c r="G37" s="33">
        <v>56.89</v>
      </c>
    </row>
  </sheetData>
  <mergeCells count="17">
    <mergeCell ref="E8:E9"/>
    <mergeCell ref="F2:G3"/>
    <mergeCell ref="F4:G5"/>
    <mergeCell ref="F6:G7"/>
    <mergeCell ref="F8:G9"/>
    <mergeCell ref="A8:B9"/>
    <mergeCell ref="C2:D3"/>
    <mergeCell ref="C4:D5"/>
    <mergeCell ref="C6:D7"/>
    <mergeCell ref="C8:D9"/>
    <mergeCell ref="A1:G1"/>
    <mergeCell ref="A2:B3"/>
    <mergeCell ref="A4:B5"/>
    <mergeCell ref="A6:B7"/>
    <mergeCell ref="E2:E3"/>
    <mergeCell ref="E4:E5"/>
    <mergeCell ref="E6:E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I1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  <col min="10" max="16384" width="11.421875" style="0" customWidth="1"/>
  </cols>
  <sheetData>
    <row r="1" spans="1:9" ht="28.5" customHeight="1">
      <c r="A1" s="68" t="s">
        <v>157</v>
      </c>
      <c r="B1" s="81"/>
      <c r="C1" s="81"/>
      <c r="D1" s="81"/>
      <c r="E1" s="81"/>
      <c r="F1" s="81"/>
      <c r="G1" s="81"/>
      <c r="H1" s="81"/>
      <c r="I1" s="81"/>
    </row>
    <row r="2" spans="1:10" ht="12.75">
      <c r="A2" s="3" t="s">
        <v>1</v>
      </c>
      <c r="B2" s="16"/>
      <c r="C2" s="23" t="s">
        <v>67</v>
      </c>
      <c r="D2" s="42"/>
      <c r="E2" s="28" t="s">
        <v>120</v>
      </c>
      <c r="F2" s="28" t="s">
        <v>125</v>
      </c>
      <c r="G2" s="16"/>
      <c r="H2" s="28" t="s">
        <v>192</v>
      </c>
      <c r="I2" s="101"/>
      <c r="J2" s="50"/>
    </row>
    <row r="3" spans="1:10" ht="12.75">
      <c r="A3" s="4"/>
      <c r="B3" s="17"/>
      <c r="C3" s="24"/>
      <c r="D3" s="24"/>
      <c r="E3" s="17"/>
      <c r="F3" s="17"/>
      <c r="G3" s="17"/>
      <c r="H3" s="17"/>
      <c r="I3" s="48"/>
      <c r="J3" s="50"/>
    </row>
    <row r="4" spans="1:10" ht="12.75">
      <c r="A4" s="5" t="s">
        <v>2</v>
      </c>
      <c r="B4" s="17"/>
      <c r="C4" s="25" t="s">
        <v>68</v>
      </c>
      <c r="D4" s="17"/>
      <c r="E4" s="25" t="s">
        <v>121</v>
      </c>
      <c r="F4" s="25" t="s">
        <v>126</v>
      </c>
      <c r="G4" s="17"/>
      <c r="H4" s="25" t="s">
        <v>192</v>
      </c>
      <c r="I4" s="102" t="s">
        <v>196</v>
      </c>
      <c r="J4" s="50"/>
    </row>
    <row r="5" spans="1:10" ht="12.75">
      <c r="A5" s="4"/>
      <c r="B5" s="17"/>
      <c r="C5" s="17"/>
      <c r="D5" s="17"/>
      <c r="E5" s="17"/>
      <c r="F5" s="17"/>
      <c r="G5" s="17"/>
      <c r="H5" s="17"/>
      <c r="I5" s="48"/>
      <c r="J5" s="50"/>
    </row>
    <row r="6" spans="1:10" ht="12.75">
      <c r="A6" s="5" t="s">
        <v>3</v>
      </c>
      <c r="B6" s="17"/>
      <c r="C6" s="25"/>
      <c r="D6" s="17"/>
      <c r="E6" s="25" t="s">
        <v>122</v>
      </c>
      <c r="F6" s="25"/>
      <c r="G6" s="17"/>
      <c r="H6" s="25" t="s">
        <v>192</v>
      </c>
      <c r="I6" s="102"/>
      <c r="J6" s="50"/>
    </row>
    <row r="7" spans="1:10" ht="12.75">
      <c r="A7" s="4"/>
      <c r="B7" s="17"/>
      <c r="C7" s="17"/>
      <c r="D7" s="17"/>
      <c r="E7" s="17"/>
      <c r="F7" s="17"/>
      <c r="G7" s="17"/>
      <c r="H7" s="17"/>
      <c r="I7" s="48"/>
      <c r="J7" s="50"/>
    </row>
    <row r="8" spans="1:10" ht="12.75">
      <c r="A8" s="5" t="s">
        <v>104</v>
      </c>
      <c r="B8" s="17"/>
      <c r="C8" s="35">
        <v>42502</v>
      </c>
      <c r="D8" s="17"/>
      <c r="E8" s="25" t="s">
        <v>105</v>
      </c>
      <c r="F8" s="17"/>
      <c r="G8" s="17"/>
      <c r="H8" s="25" t="s">
        <v>193</v>
      </c>
      <c r="I8" s="102" t="s">
        <v>32</v>
      </c>
      <c r="J8" s="50"/>
    </row>
    <row r="9" spans="1:10" ht="12.75">
      <c r="A9" s="4"/>
      <c r="B9" s="17"/>
      <c r="C9" s="17"/>
      <c r="D9" s="17"/>
      <c r="E9" s="17"/>
      <c r="F9" s="17"/>
      <c r="G9" s="17"/>
      <c r="H9" s="17"/>
      <c r="I9" s="48"/>
      <c r="J9" s="50"/>
    </row>
    <row r="10" spans="1:10" ht="12.75">
      <c r="A10" s="5" t="s">
        <v>4</v>
      </c>
      <c r="B10" s="17"/>
      <c r="C10" s="25"/>
      <c r="D10" s="17"/>
      <c r="E10" s="25" t="s">
        <v>123</v>
      </c>
      <c r="F10" s="25"/>
      <c r="G10" s="17"/>
      <c r="H10" s="25" t="s">
        <v>194</v>
      </c>
      <c r="I10" s="103">
        <v>42502</v>
      </c>
      <c r="J10" s="50"/>
    </row>
    <row r="11" spans="1:10" ht="12.75">
      <c r="A11" s="69"/>
      <c r="B11" s="82"/>
      <c r="C11" s="82"/>
      <c r="D11" s="82"/>
      <c r="E11" s="82"/>
      <c r="F11" s="82"/>
      <c r="G11" s="82"/>
      <c r="H11" s="82"/>
      <c r="I11" s="104"/>
      <c r="J11" s="50"/>
    </row>
    <row r="12" spans="1:9" ht="23.25" customHeight="1">
      <c r="A12" s="70" t="s">
        <v>158</v>
      </c>
      <c r="B12" s="83"/>
      <c r="C12" s="83"/>
      <c r="D12" s="83"/>
      <c r="E12" s="83"/>
      <c r="F12" s="83"/>
      <c r="G12" s="83"/>
      <c r="H12" s="83"/>
      <c r="I12" s="83"/>
    </row>
    <row r="13" spans="1:10" ht="26.25" customHeight="1">
      <c r="A13" s="71" t="s">
        <v>159</v>
      </c>
      <c r="B13" s="84" t="s">
        <v>170</v>
      </c>
      <c r="C13" s="91"/>
      <c r="D13" s="71" t="s">
        <v>172</v>
      </c>
      <c r="E13" s="84" t="s">
        <v>180</v>
      </c>
      <c r="F13" s="91"/>
      <c r="G13" s="71" t="s">
        <v>181</v>
      </c>
      <c r="H13" s="84" t="s">
        <v>195</v>
      </c>
      <c r="I13" s="91"/>
      <c r="J13" s="50"/>
    </row>
    <row r="14" spans="1:10" ht="15" customHeight="1">
      <c r="A14" s="72" t="s">
        <v>160</v>
      </c>
      <c r="B14" s="85" t="s">
        <v>171</v>
      </c>
      <c r="C14" s="99">
        <f>SUM('Stavební rozpočet'!R12:R44)</f>
        <v>51.95</v>
      </c>
      <c r="D14" s="95" t="s">
        <v>173</v>
      </c>
      <c r="E14" s="97"/>
      <c r="F14" s="99">
        <v>0</v>
      </c>
      <c r="G14" s="95" t="s">
        <v>182</v>
      </c>
      <c r="H14" s="97"/>
      <c r="I14" s="99">
        <v>0</v>
      </c>
      <c r="J14" s="50"/>
    </row>
    <row r="15" spans="1:10" ht="15" customHeight="1">
      <c r="A15" s="73"/>
      <c r="B15" s="85" t="s">
        <v>124</v>
      </c>
      <c r="C15" s="99">
        <f>SUM('Stavební rozpočet'!S12:S44)</f>
        <v>760.2</v>
      </c>
      <c r="D15" s="95" t="s">
        <v>174</v>
      </c>
      <c r="E15" s="97"/>
      <c r="F15" s="99">
        <v>0</v>
      </c>
      <c r="G15" s="95" t="s">
        <v>183</v>
      </c>
      <c r="H15" s="97"/>
      <c r="I15" s="99">
        <v>0</v>
      </c>
      <c r="J15" s="50"/>
    </row>
    <row r="16" spans="1:10" ht="15" customHeight="1">
      <c r="A16" s="72" t="s">
        <v>161</v>
      </c>
      <c r="B16" s="85" t="s">
        <v>171</v>
      </c>
      <c r="C16" s="99">
        <f>SUM('Stavební rozpočet'!T12:T44)</f>
        <v>6294.3099999999995</v>
      </c>
      <c r="D16" s="95" t="s">
        <v>175</v>
      </c>
      <c r="E16" s="97"/>
      <c r="F16" s="99">
        <v>0</v>
      </c>
      <c r="G16" s="95" t="s">
        <v>184</v>
      </c>
      <c r="H16" s="97"/>
      <c r="I16" s="99">
        <v>0</v>
      </c>
      <c r="J16" s="50"/>
    </row>
    <row r="17" spans="1:10" ht="15" customHeight="1">
      <c r="A17" s="73"/>
      <c r="B17" s="85" t="s">
        <v>124</v>
      </c>
      <c r="C17" s="99">
        <f>SUM('Stavební rozpočet'!U12:U44)</f>
        <v>27355.99</v>
      </c>
      <c r="D17" s="95"/>
      <c r="E17" s="97"/>
      <c r="F17" s="100"/>
      <c r="G17" s="95" t="s">
        <v>185</v>
      </c>
      <c r="H17" s="97"/>
      <c r="I17" s="99">
        <v>0</v>
      </c>
      <c r="J17" s="50"/>
    </row>
    <row r="18" spans="1:10" ht="15" customHeight="1">
      <c r="A18" s="72" t="s">
        <v>162</v>
      </c>
      <c r="B18" s="85" t="s">
        <v>171</v>
      </c>
      <c r="C18" s="99">
        <f>SUM('Stavební rozpočet'!V12:V44)</f>
        <v>0</v>
      </c>
      <c r="D18" s="95"/>
      <c r="E18" s="97"/>
      <c r="F18" s="100"/>
      <c r="G18" s="95" t="s">
        <v>186</v>
      </c>
      <c r="H18" s="97"/>
      <c r="I18" s="99">
        <v>0</v>
      </c>
      <c r="J18" s="50"/>
    </row>
    <row r="19" spans="1:10" ht="15" customHeight="1">
      <c r="A19" s="73"/>
      <c r="B19" s="85" t="s">
        <v>124</v>
      </c>
      <c r="C19" s="99">
        <f>SUM('Stavební rozpočet'!W12:W44)</f>
        <v>0</v>
      </c>
      <c r="D19" s="95"/>
      <c r="E19" s="97"/>
      <c r="F19" s="100"/>
      <c r="G19" s="95" t="s">
        <v>187</v>
      </c>
      <c r="H19" s="97"/>
      <c r="I19" s="99">
        <v>0</v>
      </c>
      <c r="J19" s="50"/>
    </row>
    <row r="20" spans="1:10" ht="15" customHeight="1">
      <c r="A20" s="74" t="s">
        <v>98</v>
      </c>
      <c r="B20" s="86"/>
      <c r="C20" s="99">
        <f>SUM('Stavební rozpočet'!X12:X44)</f>
        <v>22178.22</v>
      </c>
      <c r="D20" s="95"/>
      <c r="E20" s="97"/>
      <c r="F20" s="100"/>
      <c r="G20" s="95"/>
      <c r="H20" s="97"/>
      <c r="I20" s="100"/>
      <c r="J20" s="50"/>
    </row>
    <row r="21" spans="1:10" ht="15" customHeight="1">
      <c r="A21" s="74" t="s">
        <v>163</v>
      </c>
      <c r="B21" s="86"/>
      <c r="C21" s="99">
        <f>SUM('Stavební rozpočet'!P12:P44)</f>
        <v>571.89</v>
      </c>
      <c r="D21" s="95"/>
      <c r="E21" s="97"/>
      <c r="F21" s="100"/>
      <c r="G21" s="95"/>
      <c r="H21" s="97"/>
      <c r="I21" s="100"/>
      <c r="J21" s="50"/>
    </row>
    <row r="22" spans="1:10" ht="16.5" customHeight="1">
      <c r="A22" s="74" t="s">
        <v>164</v>
      </c>
      <c r="B22" s="86"/>
      <c r="C22" s="99">
        <f>SUM(C14:C21)</f>
        <v>57212.56</v>
      </c>
      <c r="D22" s="74" t="s">
        <v>176</v>
      </c>
      <c r="E22" s="86"/>
      <c r="F22" s="99">
        <f>SUM(F14:F21)</f>
        <v>0</v>
      </c>
      <c r="G22" s="74" t="s">
        <v>188</v>
      </c>
      <c r="H22" s="86"/>
      <c r="I22" s="99">
        <f>SUM(I14:I21)</f>
        <v>0</v>
      </c>
      <c r="J22" s="50"/>
    </row>
    <row r="23" spans="1:9" ht="0.75" customHeight="1">
      <c r="A23" s="75"/>
      <c r="B23" s="75"/>
      <c r="C23" s="75"/>
      <c r="D23" s="14"/>
      <c r="E23" s="14"/>
      <c r="F23" s="14"/>
      <c r="G23" s="14"/>
      <c r="H23" s="14"/>
      <c r="I23" s="14"/>
    </row>
    <row r="24" spans="1:9" ht="15" customHeight="1">
      <c r="A24" s="76" t="s">
        <v>165</v>
      </c>
      <c r="B24" s="87"/>
      <c r="C24" s="105">
        <f>SUM('Stavební rozpočet'!Z12:Z44)</f>
        <v>0</v>
      </c>
      <c r="D24" s="96"/>
      <c r="E24" s="98"/>
      <c r="F24" s="98"/>
      <c r="G24" s="98"/>
      <c r="H24" s="98"/>
      <c r="I24" s="98"/>
    </row>
    <row r="25" spans="1:10" ht="15" customHeight="1">
      <c r="A25" s="76" t="s">
        <v>166</v>
      </c>
      <c r="B25" s="87"/>
      <c r="C25" s="105">
        <f>SUM('Stavební rozpočet'!AA12:AA44)</f>
        <v>0</v>
      </c>
      <c r="D25" s="76" t="s">
        <v>177</v>
      </c>
      <c r="E25" s="87"/>
      <c r="F25" s="105">
        <f>ROUND(C25*(15/100),2)</f>
        <v>0</v>
      </c>
      <c r="G25" s="76" t="s">
        <v>189</v>
      </c>
      <c r="H25" s="87"/>
      <c r="I25" s="105">
        <f>SUM(C24:C26)</f>
        <v>57212.56</v>
      </c>
      <c r="J25" s="50"/>
    </row>
    <row r="26" spans="1:10" ht="15" customHeight="1">
      <c r="A26" s="76" t="s">
        <v>167</v>
      </c>
      <c r="B26" s="87"/>
      <c r="C26" s="105">
        <f>SUM('Stavební rozpočet'!AB12:AB44)+(F22+I22)</f>
        <v>57212.56</v>
      </c>
      <c r="D26" s="76" t="s">
        <v>178</v>
      </c>
      <c r="E26" s="87"/>
      <c r="F26" s="105">
        <f>ROUND(C26*(21/100),2)</f>
        <v>12014.64</v>
      </c>
      <c r="G26" s="76" t="s">
        <v>190</v>
      </c>
      <c r="H26" s="87"/>
      <c r="I26" s="105">
        <f>SUM(F25:F26)+I25</f>
        <v>69227.2</v>
      </c>
      <c r="J26" s="50"/>
    </row>
    <row r="27" spans="1:9" ht="0.75" customHeight="1">
      <c r="A27" s="77"/>
      <c r="B27" s="77"/>
      <c r="C27" s="77"/>
      <c r="D27" s="77"/>
      <c r="E27" s="77"/>
      <c r="F27" s="77"/>
      <c r="G27" s="77"/>
      <c r="H27" s="77"/>
      <c r="I27" s="77"/>
    </row>
    <row r="28" spans="1:10" ht="14.25" customHeight="1">
      <c r="A28" s="78" t="s">
        <v>168</v>
      </c>
      <c r="B28" s="88"/>
      <c r="C28" s="92"/>
      <c r="D28" s="78" t="s">
        <v>179</v>
      </c>
      <c r="E28" s="88"/>
      <c r="F28" s="92"/>
      <c r="G28" s="78" t="s">
        <v>191</v>
      </c>
      <c r="H28" s="88"/>
      <c r="I28" s="92"/>
      <c r="J28" s="51"/>
    </row>
    <row r="29" spans="1:10" ht="12.75" customHeight="1">
      <c r="A29" s="79"/>
      <c r="B29" s="89"/>
      <c r="C29" s="93"/>
      <c r="D29" s="79"/>
      <c r="E29" s="89"/>
      <c r="F29" s="93"/>
      <c r="G29" s="79"/>
      <c r="H29" s="89"/>
      <c r="I29" s="93"/>
      <c r="J29" s="51"/>
    </row>
    <row r="30" spans="1:10" ht="14.25" customHeight="1" hidden="1">
      <c r="A30" s="79"/>
      <c r="B30" s="89"/>
      <c r="C30" s="93"/>
      <c r="D30" s="79"/>
      <c r="E30" s="89"/>
      <c r="F30" s="93"/>
      <c r="G30" s="79"/>
      <c r="H30" s="89"/>
      <c r="I30" s="93"/>
      <c r="J30" s="51"/>
    </row>
    <row r="31" spans="1:10" ht="14.25" customHeight="1">
      <c r="A31" s="79"/>
      <c r="B31" s="89"/>
      <c r="C31" s="93"/>
      <c r="D31" s="79"/>
      <c r="E31" s="89"/>
      <c r="F31" s="93"/>
      <c r="G31" s="79"/>
      <c r="H31" s="89"/>
      <c r="I31" s="93"/>
      <c r="J31" s="51"/>
    </row>
    <row r="32" spans="1:10" ht="14.25" customHeight="1">
      <c r="A32" s="80" t="s">
        <v>169</v>
      </c>
      <c r="B32" s="90"/>
      <c r="C32" s="94"/>
      <c r="D32" s="80" t="s">
        <v>169</v>
      </c>
      <c r="E32" s="90"/>
      <c r="F32" s="94"/>
      <c r="G32" s="80" t="s">
        <v>169</v>
      </c>
      <c r="H32" s="90"/>
      <c r="I32" s="94"/>
      <c r="J32" s="51"/>
    </row>
    <row r="33" spans="1:9" ht="12.75">
      <c r="A33" s="66"/>
      <c r="B33" s="66"/>
      <c r="C33" s="66"/>
      <c r="D33" s="66"/>
      <c r="E33" s="66"/>
      <c r="F33" s="66"/>
      <c r="G33" s="66"/>
      <c r="H33" s="66"/>
      <c r="I33" s="66"/>
    </row>
  </sheetData>
  <mergeCells count="78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A12:I12"/>
    <mergeCell ref="B13:C13"/>
    <mergeCell ref="E13:F13"/>
    <mergeCell ref="H13:I13"/>
    <mergeCell ref="H8:H9"/>
    <mergeCell ref="H10:H11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F8:G9"/>
    <mergeCell ref="F10:G11"/>
    <mergeCell ref="A8:B9"/>
    <mergeCell ref="A10:B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jakost</cp:lastModifiedBy>
  <dcterms:modified xsi:type="dcterms:W3CDTF">2016-05-17T10:59:38Z</dcterms:modified>
  <cp:category/>
  <cp:version/>
  <cp:contentType/>
  <cp:contentStatus/>
</cp:coreProperties>
</file>